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RAITIS 16.06.2024\IMA_13_karta\2025_STRAUTNIEKI\Buvnieciba\Iepirkumumam IUB\"/>
    </mc:Choice>
  </mc:AlternateContent>
  <xr:revisionPtr revIDLastSave="0" documentId="13_ncr:1_{67BFD4D2-61EF-47F5-87C6-DA7D4349A9EA}" xr6:coauthVersionLast="47" xr6:coauthVersionMax="47" xr10:uidLastSave="{00000000-0000-0000-0000-000000000000}"/>
  <bookViews>
    <workbookView xWindow="-120" yWindow="-120" windowWidth="29040" windowHeight="15720" tabRatio="856" xr2:uid="{280B818C-A31A-441D-A130-FA91973BB215}"/>
  </bookViews>
  <sheets>
    <sheet name="Koptāme" sheetId="1" r:id="rId1"/>
    <sheet name="Kopsavilkums" sheetId="2" r:id="rId2"/>
    <sheet name="1" sheetId="4" r:id="rId3"/>
    <sheet name="2" sheetId="70" r:id="rId4"/>
    <sheet name="3" sheetId="66" r:id="rId5"/>
    <sheet name="4" sheetId="79" r:id="rId6"/>
    <sheet name="5" sheetId="69" r:id="rId7"/>
    <sheet name="6" sheetId="68" r:id="rId8"/>
    <sheet name="7" sheetId="76" r:id="rId9"/>
    <sheet name="8" sheetId="74" r:id="rId10"/>
    <sheet name="9" sheetId="78" r:id="rId11"/>
    <sheet name="10" sheetId="73" r:id="rId12"/>
    <sheet name="11" sheetId="75" r:id="rId13"/>
    <sheet name="12" sheetId="77" r:id="rId14"/>
    <sheet name="13" sheetId="72" r:id="rId15"/>
    <sheet name="14" sheetId="58" r:id="rId16"/>
    <sheet name="15" sheetId="59" r:id="rId17"/>
    <sheet name="16" sheetId="63" r:id="rId18"/>
    <sheet name="17" sheetId="64" r:id="rId19"/>
    <sheet name="18 " sheetId="80" r:id="rId20"/>
    <sheet name="19" sheetId="61" r:id="rId21"/>
  </sheets>
  <externalReferences>
    <externalReference r:id="rId22"/>
  </externalReferences>
  <definedNames>
    <definedName name="_xlnm._FilterDatabase" localSheetId="2" hidden="1">'1'!$A$14:$BN$37</definedName>
    <definedName name="_xlnm._FilterDatabase" localSheetId="11" hidden="1">'10'!$A$14:$BN$34</definedName>
    <definedName name="_xlnm._FilterDatabase" localSheetId="12" hidden="1">'11'!$A$14:$BN$61</definedName>
    <definedName name="_xlnm._FilterDatabase" localSheetId="13" hidden="1">'12'!$A$14:$BN$59</definedName>
    <definedName name="_xlnm._FilterDatabase" localSheetId="14" hidden="1">'13'!$A$14:$BN$57</definedName>
    <definedName name="_xlnm._FilterDatabase" localSheetId="15" hidden="1">'14'!$A$14:$BO$94</definedName>
    <definedName name="_xlnm._FilterDatabase" localSheetId="16" hidden="1">'15'!$A$14:$BO$92</definedName>
    <definedName name="_xlnm._FilterDatabase" localSheetId="17" hidden="1">'16'!$A$14:$BO$37</definedName>
    <definedName name="_xlnm._FilterDatabase" localSheetId="18" hidden="1">'17'!$A$14:$BO$36</definedName>
    <definedName name="_xlnm._FilterDatabase" localSheetId="19" hidden="1">'18 '!$A$14:$BN$27</definedName>
    <definedName name="_xlnm._FilterDatabase" localSheetId="20" hidden="1">'19'!$A$14:$BN$60</definedName>
    <definedName name="_xlnm._FilterDatabase" localSheetId="3" hidden="1">'2'!$A$14:$BN$26</definedName>
    <definedName name="_xlnm._FilterDatabase" localSheetId="4" hidden="1">'3'!$A$14:$BN$168</definedName>
    <definedName name="_xlnm._FilterDatabase" localSheetId="5" hidden="1">'4'!$A$14:$BN$85</definedName>
    <definedName name="_xlnm._FilterDatabase" localSheetId="6" hidden="1">'5'!$A$14:$BN$27</definedName>
    <definedName name="_xlnm._FilterDatabase" localSheetId="7" hidden="1">'6'!$A$14:$BN$59</definedName>
    <definedName name="_xlnm._FilterDatabase" localSheetId="8" hidden="1">'7'!$A$14:$BN$83</definedName>
    <definedName name="_xlnm._FilterDatabase" localSheetId="9" hidden="1">'8'!$A$14:$BN$41</definedName>
    <definedName name="_xlnm._FilterDatabase" localSheetId="10" hidden="1">'9'!$A$14:$BN$87</definedName>
    <definedName name="_xlnm.Print_Area" localSheetId="2">'1'!$A$1:$P$42</definedName>
    <definedName name="_xlnm.Print_Area" localSheetId="11">'10'!$A$1:$P$39</definedName>
    <definedName name="_xlnm.Print_Area" localSheetId="12">'11'!$A$1:$P$66</definedName>
    <definedName name="_xlnm.Print_Area" localSheetId="13">'12'!$A$1:$P$64</definedName>
    <definedName name="_xlnm.Print_Area" localSheetId="14">'13'!$A$1:$P$62</definedName>
    <definedName name="_xlnm.Print_Area" localSheetId="15">'14'!$A$1:$Q$99</definedName>
    <definedName name="_xlnm.Print_Area" localSheetId="16">'15'!$A$1:$Q$97</definedName>
    <definedName name="_xlnm.Print_Area" localSheetId="17">'16'!$A$1:$Q$42</definedName>
    <definedName name="_xlnm.Print_Area" localSheetId="18">'17'!$A$1:$Q$41</definedName>
    <definedName name="_xlnm.Print_Area" localSheetId="19">'18 '!$A$1:$P$32</definedName>
    <definedName name="_xlnm.Print_Area" localSheetId="20">'19'!$A$1:$P$65</definedName>
    <definedName name="_xlnm.Print_Area" localSheetId="3">'2'!$A$1:$P$31</definedName>
    <definedName name="_xlnm.Print_Area" localSheetId="4">'3'!$A$1:$P$173</definedName>
    <definedName name="_xlnm.Print_Area" localSheetId="5">'4'!$A$1:$P$90</definedName>
    <definedName name="_xlnm.Print_Area" localSheetId="6">'5'!$A$1:$P$32</definedName>
    <definedName name="_xlnm.Print_Area" localSheetId="7">'6'!$A$1:$P$64</definedName>
    <definedName name="_xlnm.Print_Area" localSheetId="8">'7'!$A$1:$P$88</definedName>
    <definedName name="_xlnm.Print_Area" localSheetId="9">'8'!$A$1:$P$46</definedName>
    <definedName name="_xlnm.Print_Area" localSheetId="10">'9'!$A$1:$P$92</definedName>
    <definedName name="_xlnm.Print_Area" localSheetId="1">Kopsavilkums!$A$1:$H$51</definedName>
    <definedName name="_xlnm.Print_Area" localSheetId="0">Koptāme!$A$1:$C$26</definedName>
    <definedName name="_xlnm.Print_Titles" localSheetId="2">'1'!$13:$14</definedName>
    <definedName name="_xlnm.Print_Titles" localSheetId="11">'10'!$13:$14</definedName>
    <definedName name="_xlnm.Print_Titles" localSheetId="12">'11'!$13:$14</definedName>
    <definedName name="_xlnm.Print_Titles" localSheetId="13">'12'!$13:$14</definedName>
    <definedName name="_xlnm.Print_Titles" localSheetId="14">'13'!$13:$14</definedName>
    <definedName name="_xlnm.Print_Titles" localSheetId="15">'14'!$13:$14</definedName>
    <definedName name="_xlnm.Print_Titles" localSheetId="16">'15'!$13:$14</definedName>
    <definedName name="_xlnm.Print_Titles" localSheetId="17">'16'!$13:$14</definedName>
    <definedName name="_xlnm.Print_Titles" localSheetId="18">'17'!$13:$14</definedName>
    <definedName name="_xlnm.Print_Titles" localSheetId="19">'18 '!$13:$14</definedName>
    <definedName name="_xlnm.Print_Titles" localSheetId="20">'19'!$13:$14</definedName>
    <definedName name="_xlnm.Print_Titles" localSheetId="3">'2'!$13:$14</definedName>
    <definedName name="_xlnm.Print_Titles" localSheetId="4">'3'!$13:$14</definedName>
    <definedName name="_xlnm.Print_Titles" localSheetId="5">'4'!$13:$14</definedName>
    <definedName name="_xlnm.Print_Titles" localSheetId="6">'5'!$13:$14</definedName>
    <definedName name="_xlnm.Print_Titles" localSheetId="7">'6'!$13:$14</definedName>
    <definedName name="_xlnm.Print_Titles" localSheetId="8">'7'!$13:$14</definedName>
    <definedName name="_xlnm.Print_Titles" localSheetId="9">'8'!$13:$14</definedName>
    <definedName name="_xlnm.Print_Titles" localSheetId="10">'9'!$13:$14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2" i="59" l="1"/>
  <c r="E81" i="78"/>
  <c r="E80" i="78"/>
  <c r="P27" i="80"/>
  <c r="P60" i="61"/>
  <c r="E36" i="61"/>
  <c r="E38" i="61" s="1"/>
  <c r="E35" i="61"/>
  <c r="E34" i="61"/>
  <c r="E31" i="61"/>
  <c r="E32" i="61" s="1"/>
  <c r="E84" i="79"/>
  <c r="L85" i="79"/>
  <c r="O85" i="79"/>
  <c r="N85" i="79"/>
  <c r="E83" i="79"/>
  <c r="A3" i="80"/>
  <c r="C15" i="80" s="1"/>
  <c r="D32" i="80"/>
  <c r="P29" i="80"/>
  <c r="I29" i="80"/>
  <c r="E26" i="80"/>
  <c r="E25" i="80"/>
  <c r="E22" i="80"/>
  <c r="E21" i="80"/>
  <c r="E19" i="80"/>
  <c r="E18" i="80"/>
  <c r="P11" i="80"/>
  <c r="E43" i="79"/>
  <c r="E24" i="79"/>
  <c r="E23" i="79"/>
  <c r="A3" i="79"/>
  <c r="E69" i="79"/>
  <c r="E37" i="61" l="1"/>
  <c r="E40" i="61"/>
  <c r="E39" i="61"/>
  <c r="P85" i="79"/>
  <c r="M85" i="79"/>
  <c r="O27" i="80"/>
  <c r="G34" i="2" s="1"/>
  <c r="L27" i="80"/>
  <c r="H34" i="2" s="1"/>
  <c r="E41" i="61" l="1"/>
  <c r="N27" i="80"/>
  <c r="F34" i="2" s="1"/>
  <c r="M27" i="80"/>
  <c r="E34" i="2" s="1"/>
  <c r="E43" i="61" l="1"/>
  <c r="E42" i="61"/>
  <c r="P9" i="80"/>
  <c r="D34" i="2" s="1"/>
  <c r="E141" i="66" l="1"/>
  <c r="E138" i="66"/>
  <c r="E126" i="66"/>
  <c r="E111" i="66"/>
  <c r="E108" i="66"/>
  <c r="E109" i="66" s="1"/>
  <c r="E105" i="66"/>
  <c r="E103" i="66"/>
  <c r="E94" i="66"/>
  <c r="E91" i="66"/>
  <c r="E92" i="66" s="1"/>
  <c r="E88" i="66"/>
  <c r="E86" i="66"/>
  <c r="E77" i="66"/>
  <c r="E74" i="66"/>
  <c r="E75" i="66" s="1"/>
  <c r="E71" i="66"/>
  <c r="E69" i="66"/>
  <c r="E60" i="66"/>
  <c r="E57" i="66"/>
  <c r="E58" i="66" s="1"/>
  <c r="E54" i="66"/>
  <c r="E55" i="66" s="1"/>
  <c r="E52" i="66"/>
  <c r="E51" i="66"/>
  <c r="E43" i="66"/>
  <c r="E35" i="66"/>
  <c r="E18" i="66"/>
  <c r="E40" i="66"/>
  <c r="E41" i="66" s="1"/>
  <c r="E37" i="66"/>
  <c r="E23" i="66"/>
  <c r="E24" i="66" s="1"/>
  <c r="E26" i="66"/>
  <c r="E20" i="66"/>
  <c r="E76" i="76"/>
  <c r="E48" i="76"/>
  <c r="E45" i="76"/>
  <c r="E32" i="76"/>
  <c r="E20" i="76"/>
  <c r="E31" i="75"/>
  <c r="E33" i="75" s="1"/>
  <c r="E40" i="77"/>
  <c r="E20" i="69"/>
  <c r="E21" i="72"/>
  <c r="E20" i="72"/>
  <c r="E139" i="66" l="1"/>
  <c r="E107" i="66"/>
  <c r="E106" i="66"/>
  <c r="E38" i="66"/>
  <c r="E56" i="66"/>
  <c r="E39" i="66"/>
  <c r="E32" i="75"/>
  <c r="E38" i="75" l="1"/>
  <c r="E37" i="75"/>
  <c r="E36" i="75"/>
  <c r="E18" i="72"/>
  <c r="E156" i="66"/>
  <c r="E90" i="66"/>
  <c r="E72" i="66"/>
  <c r="E22" i="66"/>
  <c r="E39" i="75" l="1"/>
  <c r="E40" i="75"/>
  <c r="E89" i="66"/>
  <c r="E73" i="66"/>
  <c r="E21" i="66"/>
  <c r="E41" i="75" l="1"/>
  <c r="E21" i="70" l="1"/>
  <c r="E24" i="70"/>
  <c r="E31" i="72"/>
  <c r="E39" i="72"/>
  <c r="E40" i="72" s="1"/>
  <c r="E34" i="72"/>
  <c r="E36" i="72"/>
  <c r="E29" i="72"/>
  <c r="E26" i="72"/>
  <c r="E28" i="72"/>
  <c r="E25" i="72"/>
  <c r="E33" i="72"/>
  <c r="E53" i="72"/>
  <c r="E52" i="72"/>
  <c r="E51" i="72"/>
  <c r="E23" i="70"/>
  <c r="E28" i="79"/>
  <c r="E37" i="79"/>
  <c r="E41" i="68"/>
  <c r="E26" i="69"/>
  <c r="E166" i="66"/>
  <c r="E30" i="66"/>
  <c r="E27" i="66"/>
  <c r="E58" i="68"/>
  <c r="E57" i="68"/>
  <c r="E53" i="68"/>
  <c r="E52" i="68"/>
  <c r="E51" i="68"/>
  <c r="E54" i="68"/>
  <c r="E47" i="68"/>
  <c r="E46" i="68"/>
  <c r="E44" i="68"/>
  <c r="E40" i="68"/>
  <c r="E38" i="68"/>
  <c r="E37" i="68"/>
  <c r="E35" i="68"/>
  <c r="E34" i="68"/>
  <c r="E28" i="68"/>
  <c r="E31" i="68" s="1"/>
  <c r="E25" i="68"/>
  <c r="E24" i="68"/>
  <c r="E18" i="68"/>
  <c r="E19" i="74"/>
  <c r="E18" i="74"/>
  <c r="E17" i="74"/>
  <c r="E47" i="75"/>
  <c r="E48" i="75" s="1"/>
  <c r="E46" i="75"/>
  <c r="E44" i="75"/>
  <c r="E45" i="75" s="1"/>
  <c r="E28" i="75"/>
  <c r="E27" i="75"/>
  <c r="E26" i="75"/>
  <c r="E22" i="75"/>
  <c r="E19" i="75"/>
  <c r="E51" i="61"/>
  <c r="E54" i="61" s="1"/>
  <c r="E50" i="61"/>
  <c r="E49" i="61"/>
  <c r="E46" i="61"/>
  <c r="E27" i="61"/>
  <c r="E28" i="61" s="1"/>
  <c r="E38" i="76"/>
  <c r="C15" i="79"/>
  <c r="E57" i="79"/>
  <c r="E62" i="79"/>
  <c r="E80" i="79"/>
  <c r="E56" i="79"/>
  <c r="E51" i="77"/>
  <c r="E33" i="77"/>
  <c r="E32" i="77"/>
  <c r="E31" i="77"/>
  <c r="E30" i="77"/>
  <c r="E29" i="77"/>
  <c r="A3" i="72"/>
  <c r="C15" i="72" s="1"/>
  <c r="E53" i="77"/>
  <c r="E54" i="77" s="1"/>
  <c r="E58" i="77"/>
  <c r="E69" i="78"/>
  <c r="E53" i="78"/>
  <c r="E54" i="78" s="1"/>
  <c r="E36" i="78"/>
  <c r="E37" i="78" s="1"/>
  <c r="E17" i="78"/>
  <c r="E18" i="78" s="1"/>
  <c r="A3" i="78"/>
  <c r="C15" i="78" s="1"/>
  <c r="E50" i="77"/>
  <c r="E49" i="77"/>
  <c r="E48" i="77"/>
  <c r="E46" i="77"/>
  <c r="E45" i="77"/>
  <c r="E44" i="77"/>
  <c r="E43" i="77"/>
  <c r="A3" i="77"/>
  <c r="C15" i="77" s="1"/>
  <c r="E19" i="76"/>
  <c r="E18" i="76"/>
  <c r="E51" i="76"/>
  <c r="E44" i="76"/>
  <c r="E47" i="76" s="1"/>
  <c r="E49" i="76" s="1"/>
  <c r="A3" i="76"/>
  <c r="C15" i="76" s="1"/>
  <c r="E22" i="76"/>
  <c r="E79" i="76"/>
  <c r="E80" i="76" s="1"/>
  <c r="E81" i="76" s="1"/>
  <c r="E72" i="76"/>
  <c r="E75" i="76" s="1"/>
  <c r="E57" i="76"/>
  <c r="E58" i="76" s="1"/>
  <c r="A3" i="75"/>
  <c r="C15" i="75" s="1"/>
  <c r="A3" i="74"/>
  <c r="C15" i="74" s="1"/>
  <c r="E33" i="73"/>
  <c r="E32" i="73"/>
  <c r="A3" i="73"/>
  <c r="C15" i="73" s="1"/>
  <c r="A3" i="63"/>
  <c r="E17" i="61"/>
  <c r="E18" i="61" s="1"/>
  <c r="E19" i="61" s="1"/>
  <c r="E22" i="70"/>
  <c r="A3" i="70"/>
  <c r="C15" i="70" s="1"/>
  <c r="E34" i="4"/>
  <c r="E33" i="4"/>
  <c r="E29" i="4"/>
  <c r="E27" i="4"/>
  <c r="E24" i="4"/>
  <c r="E25" i="4"/>
  <c r="A3" i="69"/>
  <c r="C15" i="69" s="1"/>
  <c r="E24" i="69"/>
  <c r="E18" i="69"/>
  <c r="A3" i="66"/>
  <c r="C15" i="66" s="1"/>
  <c r="A3" i="68"/>
  <c r="C15" i="68" s="1"/>
  <c r="E158" i="66"/>
  <c r="E152" i="66"/>
  <c r="E153" i="66" s="1"/>
  <c r="E124" i="66"/>
  <c r="E116" i="66"/>
  <c r="E117" i="66" s="1"/>
  <c r="E115" i="66"/>
  <c r="E102" i="66"/>
  <c r="E99" i="66"/>
  <c r="E100" i="66" s="1"/>
  <c r="E65" i="66"/>
  <c r="E66" i="66" s="1"/>
  <c r="E82" i="66"/>
  <c r="E83" i="66" s="1"/>
  <c r="E98" i="66"/>
  <c r="E95" i="66"/>
  <c r="E85" i="66"/>
  <c r="E87" i="66" s="1"/>
  <c r="E68" i="66"/>
  <c r="E81" i="66"/>
  <c r="E61" i="66"/>
  <c r="E64" i="66"/>
  <c r="E34" i="66"/>
  <c r="E48" i="66"/>
  <c r="E49" i="66" s="1"/>
  <c r="E47" i="66"/>
  <c r="E31" i="66"/>
  <c r="E17" i="66"/>
  <c r="E19" i="66" s="1"/>
  <c r="A3" i="64"/>
  <c r="C15" i="64" s="1"/>
  <c r="D41" i="64"/>
  <c r="O36" i="64"/>
  <c r="F33" i="2" s="1"/>
  <c r="D42" i="63"/>
  <c r="C15" i="63"/>
  <c r="D99" i="58"/>
  <c r="C23" i="1"/>
  <c r="D48" i="2" s="1"/>
  <c r="A3" i="4"/>
  <c r="C15" i="4" s="1"/>
  <c r="A3" i="61"/>
  <c r="C15" i="61" s="1"/>
  <c r="A3" i="59"/>
  <c r="C15" i="59" s="1"/>
  <c r="A3" i="58"/>
  <c r="C15" i="58" s="1"/>
  <c r="B51" i="2"/>
  <c r="C48" i="2"/>
  <c r="B46" i="2"/>
  <c r="D32" i="69" s="1"/>
  <c r="C43" i="2"/>
  <c r="H9" i="2"/>
  <c r="P11" i="74" s="1"/>
  <c r="D43" i="2"/>
  <c r="I43" i="74" s="1"/>
  <c r="C40" i="2"/>
  <c r="C38" i="2"/>
  <c r="D64" i="68"/>
  <c r="E150" i="66"/>
  <c r="D173" i="66"/>
  <c r="E42" i="63"/>
  <c r="E99" i="58"/>
  <c r="D65" i="61"/>
  <c r="D42" i="4"/>
  <c r="E25" i="70"/>
  <c r="E57" i="77"/>
  <c r="E18" i="77"/>
  <c r="E19" i="77"/>
  <c r="E20" i="77"/>
  <c r="E21" i="77"/>
  <c r="E23" i="77"/>
  <c r="E24" i="77"/>
  <c r="E39" i="76"/>
  <c r="E41" i="76" s="1"/>
  <c r="E37" i="76"/>
  <c r="E63" i="76"/>
  <c r="E62" i="76"/>
  <c r="E59" i="76"/>
  <c r="E61" i="76"/>
  <c r="E60" i="76"/>
  <c r="E21" i="76"/>
  <c r="D66" i="75"/>
  <c r="D92" i="78"/>
  <c r="D62" i="72"/>
  <c r="D39" i="73"/>
  <c r="D90" i="79"/>
  <c r="D64" i="77"/>
  <c r="D46" i="74"/>
  <c r="E97" i="59"/>
  <c r="D88" i="76"/>
  <c r="I61" i="77"/>
  <c r="O61" i="77"/>
  <c r="P11" i="75"/>
  <c r="E19" i="78"/>
  <c r="E65" i="76"/>
  <c r="E67" i="76" s="1"/>
  <c r="E64" i="76"/>
  <c r="E23" i="76"/>
  <c r="E68" i="76"/>
  <c r="J96" i="58" l="1"/>
  <c r="O89" i="78"/>
  <c r="O29" i="80"/>
  <c r="H36" i="73"/>
  <c r="H29" i="80"/>
  <c r="L39" i="73"/>
  <c r="L32" i="80"/>
  <c r="E38" i="78"/>
  <c r="E39" i="78" s="1"/>
  <c r="E71" i="78"/>
  <c r="E73" i="78" s="1"/>
  <c r="E70" i="78"/>
  <c r="L64" i="77"/>
  <c r="E31" i="79"/>
  <c r="E73" i="76"/>
  <c r="E82" i="76"/>
  <c r="E46" i="76"/>
  <c r="E52" i="76"/>
  <c r="E21" i="74"/>
  <c r="E49" i="75"/>
  <c r="L46" i="74"/>
  <c r="L66" i="75"/>
  <c r="L62" i="72"/>
  <c r="M99" i="58"/>
  <c r="L88" i="76"/>
  <c r="M97" i="59"/>
  <c r="L65" i="61"/>
  <c r="L173" i="66"/>
  <c r="L90" i="79"/>
  <c r="O59" i="72"/>
  <c r="O43" i="74"/>
  <c r="P94" i="59"/>
  <c r="O36" i="73"/>
  <c r="O39" i="4"/>
  <c r="O87" i="79"/>
  <c r="P96" i="58"/>
  <c r="O62" i="61"/>
  <c r="I94" i="59"/>
  <c r="H28" i="70"/>
  <c r="H59" i="72"/>
  <c r="E56" i="77"/>
  <c r="E55" i="77"/>
  <c r="E38" i="77"/>
  <c r="N34" i="73"/>
  <c r="F24" i="2" s="1"/>
  <c r="O63" i="75"/>
  <c r="O34" i="73"/>
  <c r="G24" i="2" s="1"/>
  <c r="M34" i="73"/>
  <c r="E24" i="2" s="1"/>
  <c r="E55" i="78"/>
  <c r="E57" i="78" s="1"/>
  <c r="E50" i="79"/>
  <c r="E39" i="79"/>
  <c r="O26" i="70"/>
  <c r="G16" i="2" s="1"/>
  <c r="M26" i="70"/>
  <c r="E16" i="2" s="1"/>
  <c r="E19" i="79"/>
  <c r="E46" i="79"/>
  <c r="E30" i="79"/>
  <c r="E20" i="79"/>
  <c r="E29" i="79"/>
  <c r="E72" i="78"/>
  <c r="E40" i="78"/>
  <c r="E20" i="78"/>
  <c r="E40" i="76"/>
  <c r="E69" i="76"/>
  <c r="E70" i="76"/>
  <c r="E33" i="76"/>
  <c r="E66" i="76"/>
  <c r="E123" i="66"/>
  <c r="E21" i="78"/>
  <c r="E50" i="76"/>
  <c r="P37" i="63"/>
  <c r="G32" i="2" s="1"/>
  <c r="P36" i="64"/>
  <c r="G33" i="2" s="1"/>
  <c r="O28" i="70"/>
  <c r="O170" i="66"/>
  <c r="P38" i="64"/>
  <c r="P39" i="63"/>
  <c r="L64" i="68"/>
  <c r="M42" i="63"/>
  <c r="M41" i="64"/>
  <c r="L32" i="69"/>
  <c r="L31" i="70"/>
  <c r="E25" i="77"/>
  <c r="E19" i="69"/>
  <c r="E26" i="77"/>
  <c r="E27" i="77"/>
  <c r="M37" i="63"/>
  <c r="H32" i="2" s="1"/>
  <c r="M36" i="64"/>
  <c r="H33" i="2" s="1"/>
  <c r="L34" i="73"/>
  <c r="H24" i="2" s="1"/>
  <c r="E52" i="61"/>
  <c r="E53" i="61"/>
  <c r="E55" i="61"/>
  <c r="E56" i="61" s="1"/>
  <c r="E58" i="61" s="1"/>
  <c r="E50" i="75"/>
  <c r="E112" i="66"/>
  <c r="E113" i="66" s="1"/>
  <c r="E144" i="66"/>
  <c r="E129" i="66"/>
  <c r="E32" i="66"/>
  <c r="E28" i="66"/>
  <c r="E29" i="66"/>
  <c r="E97" i="66"/>
  <c r="E96" i="66"/>
  <c r="E159" i="66"/>
  <c r="E154" i="66"/>
  <c r="E151" i="66"/>
  <c r="E63" i="66"/>
  <c r="E62" i="66"/>
  <c r="E104" i="66"/>
  <c r="E36" i="66"/>
  <c r="E70" i="66"/>
  <c r="E44" i="66"/>
  <c r="E78" i="66"/>
  <c r="E121" i="66"/>
  <c r="P11" i="78"/>
  <c r="J94" i="59"/>
  <c r="I87" i="79"/>
  <c r="I62" i="61"/>
  <c r="I59" i="72"/>
  <c r="J39" i="63"/>
  <c r="P11" i="72"/>
  <c r="I36" i="73"/>
  <c r="P11" i="73"/>
  <c r="Q11" i="63"/>
  <c r="I28" i="70"/>
  <c r="L42" i="4"/>
  <c r="I39" i="4"/>
  <c r="P11" i="79"/>
  <c r="I85" i="76"/>
  <c r="P11" i="61"/>
  <c r="Q11" i="59"/>
  <c r="I170" i="66"/>
  <c r="I89" i="78"/>
  <c r="O29" i="69"/>
  <c r="P11" i="77"/>
  <c r="I63" i="75"/>
  <c r="P11" i="4"/>
  <c r="Q11" i="64"/>
  <c r="J38" i="64"/>
  <c r="I29" i="69"/>
  <c r="P11" i="69"/>
  <c r="P11" i="76"/>
  <c r="Q11" i="58"/>
  <c r="E41" i="64"/>
  <c r="H89" i="78"/>
  <c r="H63" i="75"/>
  <c r="H39" i="4"/>
  <c r="O61" i="68"/>
  <c r="O85" i="76"/>
  <c r="H85" i="76"/>
  <c r="I39" i="63"/>
  <c r="D31" i="70"/>
  <c r="I61" i="68"/>
  <c r="L92" i="78"/>
  <c r="H29" i="69"/>
  <c r="I96" i="58"/>
  <c r="H61" i="68"/>
  <c r="H61" i="77"/>
  <c r="H62" i="61"/>
  <c r="H170" i="66"/>
  <c r="H43" i="74"/>
  <c r="H87" i="79"/>
  <c r="I38" i="64"/>
  <c r="Q39" i="63"/>
  <c r="P170" i="66"/>
  <c r="P85" i="76"/>
  <c r="P28" i="70"/>
  <c r="P62" i="61"/>
  <c r="P63" i="75"/>
  <c r="P89" i="78"/>
  <c r="P59" i="72"/>
  <c r="P36" i="73"/>
  <c r="P39" i="4"/>
  <c r="P87" i="79"/>
  <c r="Q94" i="59"/>
  <c r="P61" i="77"/>
  <c r="P43" i="74"/>
  <c r="Q38" i="64"/>
  <c r="P61" i="68"/>
  <c r="P29" i="69"/>
  <c r="Q96" i="58"/>
  <c r="P11" i="70"/>
  <c r="P11" i="66"/>
  <c r="P11" i="68"/>
  <c r="E29" i="68"/>
  <c r="E50" i="68"/>
  <c r="E30" i="68"/>
  <c r="E22" i="74"/>
  <c r="E51" i="75"/>
  <c r="E47" i="61"/>
  <c r="E29" i="61"/>
  <c r="E20" i="61"/>
  <c r="E21" i="61" s="1"/>
  <c r="N37" i="4" l="1"/>
  <c r="F14" i="2" s="1"/>
  <c r="E74" i="78"/>
  <c r="E57" i="61"/>
  <c r="E32" i="79"/>
  <c r="E73" i="79"/>
  <c r="E67" i="79"/>
  <c r="E68" i="79"/>
  <c r="E48" i="79"/>
  <c r="E51" i="79"/>
  <c r="E40" i="79"/>
  <c r="E74" i="76"/>
  <c r="E77" i="76"/>
  <c r="E54" i="76"/>
  <c r="E53" i="76"/>
  <c r="E24" i="74"/>
  <c r="E35" i="77"/>
  <c r="E36" i="77"/>
  <c r="P34" i="73"/>
  <c r="P9" i="73" s="1"/>
  <c r="D24" i="2"/>
  <c r="L26" i="70"/>
  <c r="H16" i="2" s="1"/>
  <c r="L37" i="4"/>
  <c r="H14" i="2" s="1"/>
  <c r="E56" i="78"/>
  <c r="E41" i="79"/>
  <c r="E42" i="78"/>
  <c r="E43" i="78" s="1"/>
  <c r="E41" i="78"/>
  <c r="E75" i="78"/>
  <c r="E47" i="79"/>
  <c r="E34" i="79"/>
  <c r="E33" i="79"/>
  <c r="E21" i="79"/>
  <c r="M92" i="59"/>
  <c r="H30" i="2" s="1"/>
  <c r="P92" i="59"/>
  <c r="G30" i="2" s="1"/>
  <c r="E58" i="78"/>
  <c r="E59" i="78"/>
  <c r="O94" i="58"/>
  <c r="F29" i="2" s="1"/>
  <c r="P94" i="58"/>
  <c r="G29" i="2" s="1"/>
  <c r="O37" i="63"/>
  <c r="F32" i="2" s="1"/>
  <c r="E167" i="66"/>
  <c r="E22" i="78"/>
  <c r="E23" i="78"/>
  <c r="E27" i="78" s="1"/>
  <c r="M94" i="58"/>
  <c r="H29" i="2" s="1"/>
  <c r="E145" i="66"/>
  <c r="E146" i="66"/>
  <c r="E136" i="66"/>
  <c r="E114" i="66"/>
  <c r="E131" i="66"/>
  <c r="E130" i="66"/>
  <c r="E160" i="66"/>
  <c r="E161" i="66"/>
  <c r="E80" i="66"/>
  <c r="E79" i="66"/>
  <c r="E46" i="66"/>
  <c r="E45" i="66"/>
  <c r="E53" i="66"/>
  <c r="E23" i="74"/>
  <c r="E55" i="75"/>
  <c r="E54" i="75"/>
  <c r="E53" i="75"/>
  <c r="E52" i="75"/>
  <c r="E22" i="61"/>
  <c r="E44" i="78" l="1"/>
  <c r="E74" i="79"/>
  <c r="E75" i="79"/>
  <c r="E70" i="79"/>
  <c r="N83" i="76"/>
  <c r="F21" i="2" s="1"/>
  <c r="L83" i="76"/>
  <c r="H21" i="2" s="1"/>
  <c r="E27" i="74"/>
  <c r="E25" i="74"/>
  <c r="E30" i="74"/>
  <c r="E37" i="77"/>
  <c r="E77" i="78"/>
  <c r="E46" i="78"/>
  <c r="E45" i="78"/>
  <c r="E78" i="78"/>
  <c r="E76" i="78"/>
  <c r="O92" i="59"/>
  <c r="F30" i="2" s="1"/>
  <c r="E60" i="78"/>
  <c r="E62" i="78"/>
  <c r="E61" i="78"/>
  <c r="M37" i="4"/>
  <c r="E14" i="2" s="1"/>
  <c r="N59" i="77"/>
  <c r="F26" i="2" s="1"/>
  <c r="O59" i="77"/>
  <c r="G26" i="2" s="1"/>
  <c r="Q94" i="58"/>
  <c r="Q9" i="58" s="1"/>
  <c r="N94" i="58"/>
  <c r="E29" i="2" s="1"/>
  <c r="D29" i="2" s="1"/>
  <c r="E32" i="78"/>
  <c r="E25" i="78"/>
  <c r="E26" i="78"/>
  <c r="E24" i="78"/>
  <c r="Q37" i="63"/>
  <c r="Q9" i="63" s="1"/>
  <c r="N37" i="63"/>
  <c r="E32" i="2" s="1"/>
  <c r="D32" i="2" s="1"/>
  <c r="Q9" i="59"/>
  <c r="N92" i="59"/>
  <c r="E30" i="2" s="1"/>
  <c r="O37" i="4"/>
  <c r="G14" i="2" s="1"/>
  <c r="O83" i="76"/>
  <c r="G21" i="2" s="1"/>
  <c r="N26" i="70"/>
  <c r="F16" i="2" s="1"/>
  <c r="D16" i="2" s="1"/>
  <c r="P26" i="70"/>
  <c r="P9" i="70" s="1"/>
  <c r="Q36" i="64"/>
  <c r="Q9" i="64" s="1"/>
  <c r="N36" i="64"/>
  <c r="E33" i="2" s="1"/>
  <c r="D33" i="2" s="1"/>
  <c r="L59" i="68"/>
  <c r="H20" i="2" s="1"/>
  <c r="O59" i="68"/>
  <c r="G20" i="2" s="1"/>
  <c r="N59" i="68"/>
  <c r="F20" i="2" s="1"/>
  <c r="M59" i="68"/>
  <c r="E20" i="2" s="1"/>
  <c r="E58" i="75"/>
  <c r="E56" i="75"/>
  <c r="E24" i="61"/>
  <c r="E23" i="61"/>
  <c r="G18" i="2" l="1"/>
  <c r="M83" i="76"/>
  <c r="E21" i="2" s="1"/>
  <c r="D21" i="2" s="1"/>
  <c r="E26" i="74"/>
  <c r="E33" i="74"/>
  <c r="E32" i="74"/>
  <c r="E31" i="74"/>
  <c r="E28" i="74"/>
  <c r="L59" i="77"/>
  <c r="H26" i="2" s="1"/>
  <c r="D14" i="2"/>
  <c r="E47" i="78"/>
  <c r="M57" i="72"/>
  <c r="E27" i="2" s="1"/>
  <c r="N57" i="72"/>
  <c r="F27" i="2" s="1"/>
  <c r="O57" i="72"/>
  <c r="G27" i="2" s="1"/>
  <c r="L57" i="72"/>
  <c r="H27" i="2" s="1"/>
  <c r="E83" i="78"/>
  <c r="D30" i="2"/>
  <c r="E64" i="78"/>
  <c r="P83" i="76"/>
  <c r="P9" i="76" s="1"/>
  <c r="P59" i="77"/>
  <c r="P9" i="77" s="1"/>
  <c r="N27" i="69"/>
  <c r="F19" i="2" s="1"/>
  <c r="O27" i="69"/>
  <c r="G19" i="2" s="1"/>
  <c r="L27" i="69"/>
  <c r="H19" i="2" s="1"/>
  <c r="M27" i="69"/>
  <c r="E19" i="2" s="1"/>
  <c r="E33" i="78"/>
  <c r="E49" i="78"/>
  <c r="M59" i="77"/>
  <c r="E26" i="2" s="1"/>
  <c r="D26" i="2" s="1"/>
  <c r="E28" i="78"/>
  <c r="P37" i="4"/>
  <c r="P9" i="4" s="1"/>
  <c r="D20" i="2"/>
  <c r="P59" i="68"/>
  <c r="P9" i="68" s="1"/>
  <c r="E57" i="75"/>
  <c r="E59" i="75"/>
  <c r="E25" i="61"/>
  <c r="E48" i="78" l="1"/>
  <c r="F18" i="2"/>
  <c r="H18" i="2"/>
  <c r="E18" i="2"/>
  <c r="D18" i="2" s="1"/>
  <c r="P9" i="79"/>
  <c r="E35" i="74"/>
  <c r="E34" i="74"/>
  <c r="E29" i="74"/>
  <c r="D27" i="2"/>
  <c r="P57" i="72"/>
  <c r="P9" i="72" s="1"/>
  <c r="E85" i="78"/>
  <c r="E84" i="78"/>
  <c r="E65" i="78"/>
  <c r="E66" i="78"/>
  <c r="E29" i="78"/>
  <c r="E30" i="78"/>
  <c r="D19" i="2"/>
  <c r="P27" i="69"/>
  <c r="E60" i="75"/>
  <c r="L60" i="61"/>
  <c r="H36" i="2" s="1"/>
  <c r="O60" i="61"/>
  <c r="G36" i="2" s="1"/>
  <c r="N60" i="61"/>
  <c r="F36" i="2" s="1"/>
  <c r="E38" i="74" l="1"/>
  <c r="E36" i="74"/>
  <c r="P9" i="69"/>
  <c r="O168" i="66"/>
  <c r="G17" i="2" s="1"/>
  <c r="N168" i="66"/>
  <c r="F17" i="2" s="1"/>
  <c r="M168" i="66"/>
  <c r="E17" i="2" s="1"/>
  <c r="L168" i="66"/>
  <c r="H17" i="2" s="1"/>
  <c r="O61" i="75"/>
  <c r="G25" i="2" s="1"/>
  <c r="L61" i="75"/>
  <c r="H25" i="2" s="1"/>
  <c r="N61" i="75"/>
  <c r="F25" i="2" s="1"/>
  <c r="P9" i="61"/>
  <c r="M60" i="61"/>
  <c r="E36" i="2" s="1"/>
  <c r="E40" i="74" l="1"/>
  <c r="E39" i="74"/>
  <c r="E37" i="74"/>
  <c r="L87" i="78"/>
  <c r="H23" i="2" s="1"/>
  <c r="O87" i="78"/>
  <c r="G23" i="2" s="1"/>
  <c r="N87" i="78"/>
  <c r="F23" i="2" s="1"/>
  <c r="M87" i="78"/>
  <c r="E23" i="2" s="1"/>
  <c r="P168" i="66"/>
  <c r="P9" i="66" s="1"/>
  <c r="D17" i="2"/>
  <c r="P61" i="75"/>
  <c r="P9" i="75" s="1"/>
  <c r="M61" i="75"/>
  <c r="E25" i="2" s="1"/>
  <c r="D25" i="2" s="1"/>
  <c r="D36" i="2"/>
  <c r="O41" i="74" l="1"/>
  <c r="G22" i="2" s="1"/>
  <c r="G37" i="2" s="1"/>
  <c r="L41" i="74"/>
  <c r="H22" i="2" s="1"/>
  <c r="H37" i="2" s="1"/>
  <c r="H7" i="2" s="1"/>
  <c r="M41" i="74"/>
  <c r="E22" i="2" s="1"/>
  <c r="E37" i="2" s="1"/>
  <c r="D23" i="2"/>
  <c r="P87" i="78"/>
  <c r="P9" i="78" s="1"/>
  <c r="P41" i="74" l="1"/>
  <c r="P9" i="74" s="1"/>
  <c r="N41" i="74"/>
  <c r="F22" i="2" s="1"/>
  <c r="F37" i="2" s="1"/>
  <c r="D22" i="2" l="1"/>
  <c r="D37" i="2" s="1"/>
  <c r="D40" i="2" s="1"/>
  <c r="D38" i="2" l="1"/>
  <c r="D39" i="2" s="1"/>
  <c r="D41" i="2" l="1"/>
  <c r="C11" i="1" s="1"/>
  <c r="C12" i="1" s="1"/>
  <c r="C13" i="1" s="1"/>
  <c r="C14" i="1" s="1"/>
  <c r="C15" i="1" s="1"/>
  <c r="C16" i="1" s="1"/>
  <c r="H6" i="2" l="1"/>
</calcChain>
</file>

<file path=xl/sharedStrings.xml><?xml version="1.0" encoding="utf-8"?>
<sst xmlns="http://schemas.openxmlformats.org/spreadsheetml/2006/main" count="2589" uniqueCount="747">
  <si>
    <t>Tāmes izmaksas, EUR:</t>
  </si>
  <si>
    <t>Nr.p.k.</t>
  </si>
  <si>
    <t>Kods</t>
  </si>
  <si>
    <t>Būvdarbu nosaukums</t>
  </si>
  <si>
    <t>Mērvienība</t>
  </si>
  <si>
    <t>Daudzums</t>
  </si>
  <si>
    <t xml:space="preserve">Laika norma
(c/h)    </t>
  </si>
  <si>
    <t>Vienības izmaksas</t>
  </si>
  <si>
    <t>Kopā uz visu apjomu</t>
  </si>
  <si>
    <t>Darbietilpība
(c/h)</t>
  </si>
  <si>
    <t>Sastādīja:</t>
  </si>
  <si>
    <t>Pārbaudīja:</t>
  </si>
  <si>
    <t>(paraksts un tā atšifrējums, datums)</t>
  </si>
  <si>
    <t>(būvdarbu veids vai konstruktīvā elementa nosaukums)</t>
  </si>
  <si>
    <t>Summa</t>
  </si>
  <si>
    <t>Mehānismi</t>
  </si>
  <si>
    <t>Būvizstrādājumi</t>
  </si>
  <si>
    <t>Darba alga</t>
  </si>
  <si>
    <t>Kopā</t>
  </si>
  <si>
    <t>Darba samaksas likme
(euro/h)</t>
  </si>
  <si>
    <t>N.p.k.</t>
  </si>
  <si>
    <t>Tai skaitā</t>
  </si>
  <si>
    <t>t.sk. darba aizsardzība:</t>
  </si>
  <si>
    <t>Kopā:</t>
  </si>
  <si>
    <t>Pavisam kopā:</t>
  </si>
  <si>
    <t>Kods,
tāmes Nr.</t>
  </si>
  <si>
    <t>Būvdarbu veids vai konstruktīvā elementa nosaukums</t>
  </si>
  <si>
    <t>Par kopējo summu (euro):</t>
  </si>
  <si>
    <t>Kopējā darbietilpība (c/h):</t>
  </si>
  <si>
    <t>Tāmes izmaksas</t>
  </si>
  <si>
    <t>Būvniecības koptāme</t>
  </si>
  <si>
    <t>Objekta nosaukums</t>
  </si>
  <si>
    <t>PVN 21%:</t>
  </si>
  <si>
    <t>Objekta izmaksas
(euro)</t>
  </si>
  <si>
    <t>1</t>
  </si>
  <si>
    <t>2</t>
  </si>
  <si>
    <t>3</t>
  </si>
  <si>
    <t>4</t>
  </si>
  <si>
    <t>5</t>
  </si>
  <si>
    <t>6</t>
  </si>
  <si>
    <t>7</t>
  </si>
  <si>
    <t>Kopsavilkuma aprēķins par darbu vai konstruktīvo elementu veidiem</t>
  </si>
  <si>
    <t>m3</t>
  </si>
  <si>
    <t>m2</t>
  </si>
  <si>
    <t>m</t>
  </si>
  <si>
    <t>gab.</t>
  </si>
  <si>
    <t>gb.</t>
  </si>
  <si>
    <t>Tips, marka</t>
  </si>
  <si>
    <t>kompl.</t>
  </si>
  <si>
    <t>Sadalnes</t>
  </si>
  <si>
    <t>kg</t>
  </si>
  <si>
    <t>t</t>
  </si>
  <si>
    <t>Kūtsmēslu krātuve</t>
  </si>
  <si>
    <t>Zemes darbi</t>
  </si>
  <si>
    <r>
      <rPr>
        <b/>
        <sz val="10"/>
        <rFont val="Tahoma"/>
        <family val="2"/>
        <charset val="186"/>
      </rPr>
      <t>Pasūtījuma Nr.:</t>
    </r>
    <r>
      <rPr>
        <sz val="10"/>
        <rFont val="Tahoma"/>
        <family val="2"/>
        <charset val="186"/>
      </rPr>
      <t xml:space="preserve"> </t>
    </r>
  </si>
  <si>
    <t>l</t>
  </si>
  <si>
    <t>Gaismekļi</t>
  </si>
  <si>
    <t>Pasūtītāja finanšu rezerve neparedzētiem darbiem 5%:</t>
  </si>
  <si>
    <r>
      <rPr>
        <b/>
        <sz val="9"/>
        <rFont val="Tahoma"/>
        <family val="2"/>
        <charset val="186"/>
      </rPr>
      <t>Pasūtījuma Nr.:</t>
    </r>
    <r>
      <rPr>
        <sz val="9"/>
        <rFont val="Tahoma"/>
        <family val="2"/>
        <charset val="186"/>
      </rPr>
      <t xml:space="preserve"> </t>
    </r>
  </si>
  <si>
    <r>
      <rPr>
        <b/>
        <sz val="9"/>
        <rFont val="Tahoma"/>
        <family val="2"/>
        <charset val="186"/>
      </rPr>
      <t>Objekta adrese:</t>
    </r>
    <r>
      <rPr>
        <sz val="9"/>
        <rFont val="Tahoma"/>
        <family val="2"/>
        <charset val="186"/>
      </rPr>
      <t xml:space="preserve"> "Sīgas", Ceraukstes pagasts, Bauskas novads, LV-3908</t>
    </r>
  </si>
  <si>
    <r>
      <rPr>
        <b/>
        <sz val="9"/>
        <rFont val="Tahoma"/>
        <family val="2"/>
        <charset val="186"/>
      </rPr>
      <t>Objekta nosaukums:</t>
    </r>
    <r>
      <rPr>
        <sz val="9"/>
        <rFont val="Tahoma"/>
        <family val="2"/>
        <charset val="186"/>
      </rPr>
      <t xml:space="preserve"> Slaucamo govju ferma un kūtsmēslu krātuve</t>
    </r>
  </si>
  <si>
    <r>
      <t xml:space="preserve">Pasūtītājs: </t>
    </r>
    <r>
      <rPr>
        <sz val="9"/>
        <rFont val="Tahoma"/>
        <family val="2"/>
        <charset val="186"/>
      </rPr>
      <t>ZS "Strautnieki", Reģ.Nr.: 43601016080</t>
    </r>
  </si>
  <si>
    <t>Slaucamo govju ferma un kūtsmēslu krātuve</t>
  </si>
  <si>
    <t>-</t>
  </si>
  <si>
    <r>
      <rPr>
        <b/>
        <sz val="10"/>
        <rFont val="Tahoma"/>
        <family val="2"/>
        <charset val="186"/>
      </rPr>
      <t>Objekta nosaukums:</t>
    </r>
    <r>
      <rPr>
        <sz val="10"/>
        <rFont val="Tahoma"/>
        <family val="2"/>
        <charset val="186"/>
      </rPr>
      <t xml:space="preserve"> Slaucamo govju ferma un kūtsmēslu krātuve</t>
    </r>
  </si>
  <si>
    <r>
      <rPr>
        <b/>
        <sz val="10"/>
        <rFont val="Tahoma"/>
        <family val="2"/>
        <charset val="186"/>
      </rPr>
      <t>Objekta adrese:</t>
    </r>
    <r>
      <rPr>
        <sz val="10"/>
        <rFont val="Tahoma"/>
        <family val="2"/>
        <charset val="186"/>
      </rPr>
      <t xml:space="preserve"> "Sīgas", Ceraukstes pagasts, Bauskas novads, LV-3908</t>
    </r>
  </si>
  <si>
    <r>
      <t xml:space="preserve">Pasūtītājs: </t>
    </r>
    <r>
      <rPr>
        <sz val="10"/>
        <rFont val="Tahoma"/>
        <family val="2"/>
        <charset val="186"/>
      </rPr>
      <t>ZS "Strautnieki", Reģ.Nr.: 43601016080</t>
    </r>
  </si>
  <si>
    <t>Tāme sastādīta 2024.gada tirgus cenās, pamatojoties uz SIA "Ingenia", Reģ.Nr.: 43603092125 izstrādāto būvprojektu.</t>
  </si>
  <si>
    <t>Būvlaukuma ierīkošana un uzturēšana</t>
  </si>
  <si>
    <t>Teritorijas labiekārtošana</t>
  </si>
  <si>
    <t>Specializētie darbi - iekšējie tīkli, sistēmas</t>
  </si>
  <si>
    <t>Vispārceltnieciskie darbi</t>
  </si>
  <si>
    <t>Elektroapgāde (iekšējā) - EL</t>
  </si>
  <si>
    <t>Kpl.</t>
  </si>
  <si>
    <t>Sadalne AS1 6 mod. IP65 200x156x112mm, V/A</t>
  </si>
  <si>
    <t>Schneider Electric 
13958</t>
  </si>
  <si>
    <t>Sadalne AS2 6 mod. IP65 200x156x112mm, V/A</t>
  </si>
  <si>
    <t>Dizeļģenerators komplektā ar ARI automātiku,  dzesēšanas šķidrumā sildītāju. Ārpūs telpās uzstadīšanai.</t>
  </si>
  <si>
    <t>CGM 50F - Iveco 55 Kva</t>
  </si>
  <si>
    <t>Zemējuma kopne</t>
  </si>
  <si>
    <t>Palīgmateriāli, neuzskaitītie materiāli</t>
  </si>
  <si>
    <t>- proj. gaismeklis FL PFM 50W/4000K SYM 100 S BK, 6000lm, IP65, V/A, h~0,3m virs vārtiem;</t>
  </si>
  <si>
    <t>- proj. kustības detektors IS 1 500W 120gradi 10m melns IP54 2-2000 lux, V/A, h-zem ārā prožektora;</t>
  </si>
  <si>
    <t>STEINEL 
600419</t>
  </si>
  <si>
    <t>- proj. gaismeklis DP SPECIAL 1200 22W/4000K WT, 2800lm, IP67, V/A, montēt pie griestiem;</t>
  </si>
  <si>
    <t>- proj. gaismeklis DP SPECIAL 1500 30W/4000K WT, 3900lm, IP67, V/A, montēt pie renes;</t>
  </si>
  <si>
    <t>- proj. gaismeklis KYRA 125 C 1552  HO 840 PR FO WHITE, 4825lm, IP20, V/A, montēt pie griestiem;</t>
  </si>
  <si>
    <t>Slēdži, Rozetes</t>
  </si>
  <si>
    <t>Savienojumu karba, IP54, 75x75x40mm</t>
  </si>
  <si>
    <t>Kabeli</t>
  </si>
  <si>
    <t>Kabelis NYM-J 2X1,5 mm2</t>
  </si>
  <si>
    <t>m.</t>
  </si>
  <si>
    <t>Kabelis NYM-J 3X1,5 mm2</t>
  </si>
  <si>
    <t>Kabelis NYM-J 3X2,5 mm2</t>
  </si>
  <si>
    <t>Kabelis NYM-J 5X1,5 mm2</t>
  </si>
  <si>
    <t>Kabelis NYM-J 5X2,5 mm2</t>
  </si>
  <si>
    <t>Kabelis NYM-J 5X10 mm2</t>
  </si>
  <si>
    <t>Kabelis N07V-K-1x50 mm2</t>
  </si>
  <si>
    <t>Kabeļu nesošās konstrukcijas</t>
  </si>
  <si>
    <t>Gofrēta caurule 16 mm</t>
  </si>
  <si>
    <t>PVC caurule 16 mm</t>
  </si>
  <si>
    <t>Gofrēta caurule 20 mm</t>
  </si>
  <si>
    <t>PVC caurule 20 mm</t>
  </si>
  <si>
    <t>Gofrēta caurule 25 mm</t>
  </si>
  <si>
    <t>PVC caurule 25 mm</t>
  </si>
  <si>
    <t>Gofrēta caurule 40 mm</t>
  </si>
  <si>
    <t>MEKA</t>
  </si>
  <si>
    <t>Vītņstienis M8, L=2m</t>
  </si>
  <si>
    <t>Griestu stiprinājums vītņstienim</t>
  </si>
  <si>
    <t>Profils/iekare 400mm trepēm no apakšas</t>
  </si>
  <si>
    <t>Sienas kronšteins kabeļu renem</t>
  </si>
  <si>
    <t>Pārējie montāžas materiāli (skrūves, uzgriežņi, enkurdībeļi, utt.)</t>
  </si>
  <si>
    <t>Zibensaizsardzība ēkai</t>
  </si>
  <si>
    <t>Obo Bettermann</t>
  </si>
  <si>
    <t>Alumīnija apaļvads RD 8-ALU-T Ø8mm</t>
  </si>
  <si>
    <t>Cinkota tērauda apaļvads ar PVC apvalku, RD 10-PVC</t>
  </si>
  <si>
    <t>Vario ātrais savienotājs, Rd 8-10mm, 249 8-10 ALU</t>
  </si>
  <si>
    <t>Mērījuma spaile Rd 8-10mm 237/N FT</t>
  </si>
  <si>
    <t xml:space="preserve">Stiprinājums pie notekas </t>
  </si>
  <si>
    <t xml:space="preserve">Stiprinājums pie sienas </t>
  </si>
  <si>
    <t xml:space="preserve">Stieples stiprinājums jumtam </t>
  </si>
  <si>
    <t>Elektrods zemējuma 219 20 ST FT Ø20mm 1500mm</t>
  </si>
  <si>
    <t>Spice elektrodam 1819/20 BP</t>
  </si>
  <si>
    <t>Plakandzelzs 30x3,5mm 5052 DIN</t>
  </si>
  <si>
    <t>Stiepes deformācijas detaļa/ kompensators, 172 AR</t>
  </si>
  <si>
    <t>Savienojums elektrods/stieple/lente</t>
  </si>
  <si>
    <t>Savienojums elektrods/lente</t>
  </si>
  <si>
    <t>Pretkorozijas lenta 356 50mm 10m</t>
  </si>
  <si>
    <t>Rozete 2-v IP44 16A, ar zemējumu, V/A</t>
  </si>
  <si>
    <t>ALU T zibensuztvērējs stienis 16x3500mm, k-ta ar stiprinājumu slīpām jumtam</t>
  </si>
  <si>
    <t>Tiešās izmaksas kopā, t.sk. darba devēja sociālais nodoklis (23.59%):</t>
  </si>
  <si>
    <t>Kabelis AXMK 4x70 mm2</t>
  </si>
  <si>
    <t>PE caurule ø 75mm, 450N, 2klase</t>
  </si>
  <si>
    <t>Kabeļa brīdinājuma lente</t>
  </si>
  <si>
    <t>Celtniecības smilts</t>
  </si>
  <si>
    <t>Sķēmbas</t>
  </si>
  <si>
    <t>Darbu daudzumu kopsavilkums</t>
  </si>
  <si>
    <t>Tranšejas rakšana un aizbiršana ar blietēšanu 1-2 kabelim (1-2 caurulei)</t>
  </si>
  <si>
    <t>Tranšejas rakšana un aizbiršana ar blietēšanu zemējuma kontūram</t>
  </si>
  <si>
    <t>Plastmasas caurules guldīšana gatavā tranšejā</t>
  </si>
  <si>
    <t>Kabeļa brīdinājuma lentas ieklāšana</t>
  </si>
  <si>
    <t>ZS kabeļa ievēršana caurulē</t>
  </si>
  <si>
    <t>Trases nospraušana</t>
  </si>
  <si>
    <t>objekts</t>
  </si>
  <si>
    <t>Elektropārvades līnijas ģeodēziskā kontrolkartēšana</t>
  </si>
  <si>
    <t>Rakšanas atļaujas saņemšana</t>
  </si>
  <si>
    <t>Tehniskās dokumentācijas izgatavošana</t>
  </si>
  <si>
    <t>Objekta sagatavošana nodošanai-pieņemšanai ekspluatācijā</t>
  </si>
  <si>
    <t>Specializētie darbi - ārējie tīkli, sistēmas</t>
  </si>
  <si>
    <t>Elektroapgāde (ārējā) - ELT</t>
  </si>
  <si>
    <t>Ūdensapgāde un kanalizācija (iekšējā) - UK</t>
  </si>
  <si>
    <t>U1. AUKSTĀ ŪDENSAPGĀDE UN CIRKULĀCIJA</t>
  </si>
  <si>
    <t>Caurules PE100 ar veidgabaliem</t>
  </si>
  <si>
    <t>DN20, SDR11, PN16</t>
  </si>
  <si>
    <t>DN25, SDR11, PN16</t>
  </si>
  <si>
    <t>DN32, SDR11, PN16</t>
  </si>
  <si>
    <t>Daudzslāņu ūdens caurule ar veidgabaliem</t>
  </si>
  <si>
    <t>DN15, PN10</t>
  </si>
  <si>
    <t>DN25, PN10</t>
  </si>
  <si>
    <t>DN32, PN10</t>
  </si>
  <si>
    <t>DN40, PN10</t>
  </si>
  <si>
    <t>DN50, PN10</t>
  </si>
  <si>
    <t>Lodveida ventilis</t>
  </si>
  <si>
    <t>gab</t>
  </si>
  <si>
    <t>Pretvārsts</t>
  </si>
  <si>
    <t>Cauruļu akmensvates siltumizolācijas čaula ar folija pārklājumu, λ=0,037 W/mK</t>
  </si>
  <si>
    <t>caurulei DN15, b=20mm</t>
  </si>
  <si>
    <t>caurulei DN25, b=20mm</t>
  </si>
  <si>
    <t>caurulei DN32, b=20mm</t>
  </si>
  <si>
    <t>caurulei DN40, b=20mm</t>
  </si>
  <si>
    <t>caurulei DN50, b=20mm</t>
  </si>
  <si>
    <t>PVC caurule</t>
  </si>
  <si>
    <t>OD110</t>
  </si>
  <si>
    <t>Sildkabelis*</t>
  </si>
  <si>
    <t>Cauruļvadu un veidgabalu stiprinājumi</t>
  </si>
  <si>
    <t>kpl</t>
  </si>
  <si>
    <t>Pieslēguma vieta ārējiem tīkliem</t>
  </si>
  <si>
    <t>vietas</t>
  </si>
  <si>
    <t>Cirkulācijas sūknis, Star-Z 20/4-3</t>
  </si>
  <si>
    <t>22,5W</t>
  </si>
  <si>
    <t>Spiediena paaugstināšanas sūknis, Isar BOOST5-E-5</t>
  </si>
  <si>
    <t>1,1kW</t>
  </si>
  <si>
    <t>Cauruļvadu skalošana, dezinfekcija un hidrauliskā pārbaude pēc izbūves</t>
  </si>
  <si>
    <t>ŪDENS MĒRĪTĀJA MEZGLS</t>
  </si>
  <si>
    <t>Komercuzskaites mēraparāts daudzstrūklu tipa</t>
  </si>
  <si>
    <t>DN25</t>
  </si>
  <si>
    <t>Nerūsējoša tērauda cauruļvads</t>
  </si>
  <si>
    <t>D30x2.0(DN25)</t>
  </si>
  <si>
    <t>Diametru pāreja</t>
  </si>
  <si>
    <t>DN50/25</t>
  </si>
  <si>
    <t>DN40/25</t>
  </si>
  <si>
    <t>Trejgabalss ar iekšējo vītni</t>
  </si>
  <si>
    <t>DN25/15</t>
  </si>
  <si>
    <t>Ūdens tukšošanas krāns</t>
  </si>
  <si>
    <t>DN15</t>
  </si>
  <si>
    <t>S3. KARSTĀ ŪDENSAPGĀDE</t>
  </si>
  <si>
    <t>DN20, PN10</t>
  </si>
  <si>
    <t>PE-Xa rūpnieciski izolēta caurule ar veidgabaliem</t>
  </si>
  <si>
    <t>DN25, PN6</t>
  </si>
  <si>
    <t>caurulei DN15, b=30mm</t>
  </si>
  <si>
    <t>caurulei DN20, b=30mm</t>
  </si>
  <si>
    <t>caurulei DN32, b=30mm</t>
  </si>
  <si>
    <t>Cauruļu un veidgabalu stiprinājumi</t>
  </si>
  <si>
    <t>K1. SADZĪVES KANALIZĀCIJA</t>
  </si>
  <si>
    <t>PVC kanalizācijas caurule ar veidgabaliem</t>
  </si>
  <si>
    <t>Revīzijas lūka</t>
  </si>
  <si>
    <t>DN100, 100x100mm</t>
  </si>
  <si>
    <t>Tīrišānas lūka</t>
  </si>
  <si>
    <t>K3. RAŽOŠANA KANALIZĀCIJA</t>
  </si>
  <si>
    <t>OD50</t>
  </si>
  <si>
    <t>OD160</t>
  </si>
  <si>
    <t>OD200</t>
  </si>
  <si>
    <t>Traps ar plastikāta resti, slodzes klase B125</t>
  </si>
  <si>
    <t>Līnijveida kanāls ar plastikāta resti, slodzes klas B125</t>
  </si>
  <si>
    <t>h=150mm, b=100mm</t>
  </si>
  <si>
    <t>Līnijveida kanāls ar čuguna resti, slodzes klase D400</t>
  </si>
  <si>
    <t>h=385mm, b=300mm</t>
  </si>
  <si>
    <t>PAPILDUS MATERIĀLI</t>
  </si>
  <si>
    <t>Palīgmateriāli, stiprinājumi</t>
  </si>
  <si>
    <t>Manometrs P=0÷16kg/sm²</t>
  </si>
  <si>
    <t>Ūdensapgāde un kanalizācija (ārējā) - UKT</t>
  </si>
  <si>
    <t>U1. AUKSTĀ ŪDENSAPGĀDE</t>
  </si>
  <si>
    <t>PE100 ūdensvada caurule</t>
  </si>
  <si>
    <t>SDR17, OD63, PN10</t>
  </si>
  <si>
    <t>Aizsargčaula</t>
  </si>
  <si>
    <t>caurulei OD63</t>
  </si>
  <si>
    <t>Sedlu uzlika</t>
  </si>
  <si>
    <t>D63*/OD63</t>
  </si>
  <si>
    <t>Pazemes tipa ķīļveida aizbīdnis ar teleskopisku atslēgstieni un kaļamā ķeta kapi, ar min. iekšējo diametru 140mm un atslēgstieņa atbalsta plāksni zem kapes, iestrādei zālāja segumā</t>
  </si>
  <si>
    <t>Pieslēguma vieta esošam cauruļvadam</t>
  </si>
  <si>
    <t>D63</t>
  </si>
  <si>
    <t>Pabērums un apbērums, rupjgraudaina smilts</t>
  </si>
  <si>
    <t>Gruntsūdens līmeņa pazemināšana (nepieciešamības gadījumā)</t>
  </si>
  <si>
    <t>Cauruļvadu skalošana, dezinfekcija un hidrauliskā pārbaude</t>
  </si>
  <si>
    <t>PP gludsienu kanalizācijas caurule</t>
  </si>
  <si>
    <t>OD110, SN8</t>
  </si>
  <si>
    <t>Vienvirziena vārsts</t>
  </si>
  <si>
    <t>gb</t>
  </si>
  <si>
    <t xml:space="preserve">Kanalizācijas aka no dz/b saliekamiem elem., H= 3.0m, ar vāku iestrādei zālāja segumā no kaļamā ķeta 12,5t, lūku, pamatni un hidroizolāciju visā augstumā  </t>
  </si>
  <si>
    <t>D2000</t>
  </si>
  <si>
    <t>caurulei OD110</t>
  </si>
  <si>
    <t>CCTV inspekcija</t>
  </si>
  <si>
    <t>Projektētās elektrības šķērsojums</t>
  </si>
  <si>
    <t>Projektētās lietus kanalizācijas cauruļvada šķērsojums</t>
  </si>
  <si>
    <r>
      <t>m</t>
    </r>
    <r>
      <rPr>
        <vertAlign val="superscript"/>
        <sz val="9"/>
        <rFont val="Tahoma"/>
        <family val="2"/>
        <charset val="186"/>
      </rPr>
      <t>3</t>
    </r>
  </si>
  <si>
    <t>Betona piegāde</t>
  </si>
  <si>
    <t>h</t>
  </si>
  <si>
    <t>Betona sūknēšana</t>
  </si>
  <si>
    <t>Laminēts (Mitrumizturīgs) Finieris, Bērzs, F/F, EXT, 2500x1250x21mm</t>
  </si>
  <si>
    <t>Stiegrojuma armatūra, t.sk. locītā armatūra</t>
  </si>
  <si>
    <t>Papildmateriāli (Distanceri, armatūras sienamās stieples, u.c.)</t>
  </si>
  <si>
    <t>Betons C25/30; XC1, XA3, XF3</t>
  </si>
  <si>
    <t>Papildmateriāli</t>
  </si>
  <si>
    <t>Stabveida pamats SP-1</t>
  </si>
  <si>
    <t>Papildmateriāli (Zāģmateriāli, skrūves, dībeļnaglas, veidņu eļļa, metāla stiprinājumi, u.c.)</t>
  </si>
  <si>
    <t>Grunts blietēšana zem monolītā dzelzsbetona stabveida pamata pamatu pēdas</t>
  </si>
  <si>
    <t>Blietētas šķembu kārtas ierīkošana zem monolītā dzelzsbetona stabveida pamata pamatu pēdas, b=150mm</t>
  </si>
  <si>
    <t>Stiegrojuma montāža monolītā dzelzsbetona stabveida pamata pamatu pēdai</t>
  </si>
  <si>
    <t>Monolītā dzelzsbetona stabveida pamata pamatu pēdas betonēšana</t>
  </si>
  <si>
    <t>t.m.</t>
  </si>
  <si>
    <t>Enkurbultu montāža</t>
  </si>
  <si>
    <t>Enkurbulta Peikko HPM16P</t>
  </si>
  <si>
    <t>Stabveida pamats SP-2</t>
  </si>
  <si>
    <t>Stabveida pamats SP-3</t>
  </si>
  <si>
    <t>Stabveida pamats SP-4</t>
  </si>
  <si>
    <t>Stabveida pamats SP-5</t>
  </si>
  <si>
    <t>Stabveida pamats SP-6</t>
  </si>
  <si>
    <t>Šķembas (Fr.0-32) ar piegādi</t>
  </si>
  <si>
    <t>Inventārveidņu noma, piegāde, aizvešana</t>
  </si>
  <si>
    <t>Papildmateriāli (Veidņu eļļa, distancionārās caurulītes, caurulīšu konusi, u.c.)</t>
  </si>
  <si>
    <t>Grunts blietēšana zem monolītā dzlezsbetona lentveida pamata</t>
  </si>
  <si>
    <t>Blietētas šķembu kārtas ierīkošana zem monolītā dzlezsbetona lentveida pamata, b=150mm</t>
  </si>
  <si>
    <t>Stiegrojuma montāža monolītā dzelzsbetona lentveida pamatam</t>
  </si>
  <si>
    <t>Monolītā dzelzsbetona lentveida pamata betonēšana</t>
  </si>
  <si>
    <t>Inventārveidņu montāža un demontāža monolītā dzlezsbetona lentveida pamatam</t>
  </si>
  <si>
    <t>Lentveida pamats LP-1</t>
  </si>
  <si>
    <t>Citi darbi</t>
  </si>
  <si>
    <t>Weber Tec Superflex D10 Divkomponentu Elastīga Bituma Hidroizolācija</t>
  </si>
  <si>
    <t>Sagatavošanas un zemes darbi</t>
  </si>
  <si>
    <t>Pamatu izbūve</t>
  </si>
  <si>
    <t>Metāla konstrukcijas</t>
  </si>
  <si>
    <t>Ailu aizpildījumi</t>
  </si>
  <si>
    <t>Fasādes apdares darbi</t>
  </si>
  <si>
    <t>Telpu apdares darbi</t>
  </si>
  <si>
    <t>Lentveida pamata LP-1 hidroizolācijas ierīkošana</t>
  </si>
  <si>
    <t>Cokola panelļi CP-1 - CP-18</t>
  </si>
  <si>
    <t>Grunts blietēšana zem monolītā dzlezsbetona cokola paneļiem</t>
  </si>
  <si>
    <t>Blietētas šķembu kārtas ierīkošana zem monolītā dzlezsbetona cokola paneļiem, b=150mm</t>
  </si>
  <si>
    <t>Inventārveidņu montāža un demontāža monolītā dzlezsbetona cokola paneļiem</t>
  </si>
  <si>
    <t>Stiegrojuma montāža monolītā dzelzsbetona cokola paneļiem</t>
  </si>
  <si>
    <t>Monolītā dzelzsbetona cokola paneļu betonēšana</t>
  </si>
  <si>
    <t>Z tipa tērauda kopturu montāža</t>
  </si>
  <si>
    <t>Bultskrūve M12x45</t>
  </si>
  <si>
    <t>Uzgrieznis</t>
  </si>
  <si>
    <t>Z Veida Profili LP-Z200/2.5</t>
  </si>
  <si>
    <t>Paplāksne</t>
  </si>
  <si>
    <t>Papildmateriāli (Stiprinājuma skrūves, u.c.)</t>
  </si>
  <si>
    <t>Tērauda kopturi</t>
  </si>
  <si>
    <t>Jumta koka kopturi</t>
  </si>
  <si>
    <t>Zāģmateriāli 100x200mm (C24 klase)</t>
  </si>
  <si>
    <t>Papildmateriāli (Skrūves, metāla būvkalumi, vītņstieņi, uzgriežņi, paplāksnes, u.c.)</t>
  </si>
  <si>
    <t>Jumta koka kopturu montāža</t>
  </si>
  <si>
    <t>Jumta PIR sendvičpaneļi, 40/85</t>
  </si>
  <si>
    <t>Papildmateriāli (Stiprinājuma skrūves, amortizācijas blīvlenta, u.c.)</t>
  </si>
  <si>
    <t>Sendvičtipa jumta paneļu montāža</t>
  </si>
  <si>
    <t>Sendvičtipa jumta paneļu skārda nosegelentu montāža</t>
  </si>
  <si>
    <t>NESOŠO KONSTRUKCIJU IZGATAVOŠANA</t>
  </si>
  <si>
    <t>IZGATAVOT metālkonstrukcijas; Saskaņa ar EN1090, EXC2</t>
  </si>
  <si>
    <t>KONSTRUKCIJU MATERIĀLI; Saskaņa ar metāla elementu kopējo specifikāciju</t>
  </si>
  <si>
    <t>PALĪGMATERIĀLU KOMPLEKTS; Griezējripas, slīpripas, metināšanas elektrodi, metināšanas stieple, metināšanas gāze, keramiskie paliktņi metināšanai šūves formēšanai un citi metināšanas palīgmateriali</t>
  </si>
  <si>
    <t>Projekta MKD sadaļas izstrāde</t>
  </si>
  <si>
    <t>STIPRINĀJUMA elementu komplekts saskaņā ar EN 15048-1; Bultskrūves, uzgriežņi un paplāksnes.</t>
  </si>
  <si>
    <t>NESOŠO KONSTRUKCIJU MONTĀŽA</t>
  </si>
  <si>
    <t>8</t>
  </si>
  <si>
    <t>METĀLKONSTRUKCIJU MONTĀŽA</t>
  </si>
  <si>
    <t>KONSTRUKCIJU PIEGĀDE</t>
  </si>
  <si>
    <t>9</t>
  </si>
  <si>
    <t>KONSTRUKCIJU PIEGĀDE objektā</t>
  </si>
  <si>
    <t>reisi</t>
  </si>
  <si>
    <t>Jumta sendvičtipa segums</t>
  </si>
  <si>
    <t>Fasādes apšuvuma koka konstrukcijas</t>
  </si>
  <si>
    <t>Zāģmateriāli 75x200mm (C24 klase)</t>
  </si>
  <si>
    <t>Grīdas konstrukcija</t>
  </si>
  <si>
    <t>Fasādes apšuvuma koka konstrukcijas izbūve</t>
  </si>
  <si>
    <t>Koka siju pārseguma montāža</t>
  </si>
  <si>
    <t>Zāģmateriāli 150x200mm (C24 klase)</t>
  </si>
  <si>
    <t>Zāģmateriāli 50x250mm (C24 klase)</t>
  </si>
  <si>
    <t>Sienu apdare ar tērauda profilloksnēm</t>
  </si>
  <si>
    <t>Papildmateriāli (Skrūves, amortizācijas blīvlenta, u.c.)</t>
  </si>
  <si>
    <t>Sienas skārda nosegelentu montāža</t>
  </si>
  <si>
    <t>Sienu skārda profilēto 
lokšņu apšuvums</t>
  </si>
  <si>
    <t>Jumta skārda elementi</t>
  </si>
  <si>
    <t>Skārda karnīzes montāža</t>
  </si>
  <si>
    <t>Papildmateriāli (Skrūves, kniedes, silikons, u.c.)</t>
  </si>
  <si>
    <t>Skārda kores montāža</t>
  </si>
  <si>
    <t>Lietus ūdens noteksistēma</t>
  </si>
  <si>
    <t>Lietus ūdens tekņu montāža</t>
  </si>
  <si>
    <t>Lietus ūdens noteku montāža</t>
  </si>
  <si>
    <t>Skārda vējmalas montāža</t>
  </si>
  <si>
    <t>Jumta konstrukcija, segums, notekcaurules</t>
  </si>
  <si>
    <t>Pagaidu žoga uzstādīšana un demontāža pēc būvdarbu pabeigšanas</t>
  </si>
  <si>
    <t>Pagaidu žoga noma</t>
  </si>
  <si>
    <t>mēn.</t>
  </si>
  <si>
    <t>Pagaidu žoga atvešana, aizvešana</t>
  </si>
  <si>
    <t>Iebraucamo vārtu uzstādīšana un demontāža pēc būvdarbu pabeigšanas</t>
  </si>
  <si>
    <t>Būvtāfeles izgatavošana, piegāde un uzstādīšana</t>
  </si>
  <si>
    <t>Pirmās palīdzības vietas ar aprīkojumu uzstādīšana</t>
  </si>
  <si>
    <t>Drošības un brīdinājuma zīmju izvietošana būvlaukuma teritorijā</t>
  </si>
  <si>
    <t>Strādnieku moduļa uzstādīšana</t>
  </si>
  <si>
    <t>Strādnieku moduļa noma</t>
  </si>
  <si>
    <t>Strādnieku moduļa atvešana, aizvešana</t>
  </si>
  <si>
    <t>Pārvietojamās WC piegāde, uzstādīšana un aizvešana pēc būvdarbu pabeigšanas</t>
  </si>
  <si>
    <t>Pārvietojamās WC noma un apkalpošana</t>
  </si>
  <si>
    <t>Elektroniskās darba laika uzskaites sistēmas (EDLUS) uzstādīšana</t>
  </si>
  <si>
    <t>Elektroniskās darba laika uzskaites sistēmas (EDLUS) apkalpošana</t>
  </si>
  <si>
    <t>Pagaidu elektrības pieslēguma izveide, elektrosadales uzstādīšana</t>
  </si>
  <si>
    <t>Ūdensvada pieslēguma izveide</t>
  </si>
  <si>
    <t>Apgaismes prožektoru uz stabiem montāža, t.sk. elektokabeļu montāža, pieslēgšana elektroapgādes sistēmai</t>
  </si>
  <si>
    <t>Ģeodēzijas darbi būvdarbu laikā</t>
  </si>
  <si>
    <t>Citas ar būvlaukuma ierīkošanu un uzturēšanu saisītītas izmaksas</t>
  </si>
  <si>
    <t>obj.</t>
  </si>
  <si>
    <t>Būvgružu savākšana, būzgružu konteinera īre (8m3), izvešana un utilizācija būvdarbu laikā</t>
  </si>
  <si>
    <t>Maksa par energoresursu izmantošanu (ūdens, kanalizācija, elektroenerģija) objekta būvniecības laikā</t>
  </si>
  <si>
    <t>Sagatvošanas darbi</t>
  </si>
  <si>
    <t>Pamatu būvasu nospraušana</t>
  </si>
  <si>
    <t>Pamatu būvasu nospraušanas akts</t>
  </si>
  <si>
    <t>Būvbedres rakšana pamatu izbūvei</t>
  </si>
  <si>
    <t>Būvbedres tranšeju rakšana pamatu izbūvei ar roku darbu</t>
  </si>
  <si>
    <t>Pamatu piebēršana ar pievestu smilti pēc pamatu izbūves, blietēšana pa kārtām, zem grīdas konstrukcijas</t>
  </si>
  <si>
    <t>Sienas, starpsienas</t>
  </si>
  <si>
    <t>Lokālā tāme Nr.3</t>
  </si>
  <si>
    <t>Lokālā tāme Nr.4</t>
  </si>
  <si>
    <t>Šķembu ceļa segums</t>
  </si>
  <si>
    <t>Grunts rakšana</t>
  </si>
  <si>
    <t>Liekās grunts nostumšana atbērtnē tālāk izmantošanai, būvlaukuma teritorijā</t>
  </si>
  <si>
    <t>Smilts ar piegādi</t>
  </si>
  <si>
    <t>Apzaļumošana</t>
  </si>
  <si>
    <t>Melznzemes uzbēruma 10cm biezumā izveide, teritorijas planēšana, zālāja sēšana</t>
  </si>
  <si>
    <t>Zāliena sēklas</t>
  </si>
  <si>
    <t>Ģotekstila ieklāšana</t>
  </si>
  <si>
    <t>DuPont Plantex Premium Ģeotekstils Neaustais</t>
  </si>
  <si>
    <t>Šķembas (Fr.20-40) ar piegādi</t>
  </si>
  <si>
    <t>Lokālā tāme Nr.18</t>
  </si>
  <si>
    <t>Lokālā tāme Nr.17</t>
  </si>
  <si>
    <t>Lokālā tāme Nr.16</t>
  </si>
  <si>
    <t>Lokālā tāme Nr.15</t>
  </si>
  <si>
    <t>Logu, vitrīnu montāža</t>
  </si>
  <si>
    <t>Logi, vitrīnas</t>
  </si>
  <si>
    <t>Vārti</t>
  </si>
  <si>
    <t>Vārtu montāža</t>
  </si>
  <si>
    <t>Durvis</t>
  </si>
  <si>
    <t>Durvju montāža</t>
  </si>
  <si>
    <t>Ārējās skārda palodzes</t>
  </si>
  <si>
    <t>Ārējo skārda palodžu montāža</t>
  </si>
  <si>
    <t>Ārējā palodze, PVC pārklājums</t>
  </si>
  <si>
    <t>Papildmateriāli (Skrūves, montāžas putas, silikons, u.c.)</t>
  </si>
  <si>
    <t>Lokālā tāme Nr.9</t>
  </si>
  <si>
    <t>Lokālā tāme Nr.5</t>
  </si>
  <si>
    <t>Lokālā tāme Nr.7</t>
  </si>
  <si>
    <t>Gaisa un tvaika izolācijas plēves ieklāšana, stiprināšana zem pārseguma koka konstrukcijas, pārlaiduma vietas pārlīmējot ar membrānu</t>
  </si>
  <si>
    <t>Paroc XMV 020bas Gaisa Un Tvaika Barjera</t>
  </si>
  <si>
    <t>GERBAND Outside DM Tape (386) membrānu savienošanas lenta, melna, 50mm</t>
  </si>
  <si>
    <t>Essve Essdrive Skrūves Kokam Ar Konisku Galviņu, CorrSeal Pārklājums 5x70mm (100gab)</t>
  </si>
  <si>
    <t>iepak.</t>
  </si>
  <si>
    <t>Zāģmateriāli 35x50mm (C24 klase)</t>
  </si>
  <si>
    <t>Pārseguma konstrukcija</t>
  </si>
  <si>
    <t>Retināta dēļu klāja izbūve zem pārseguma koka konstrukcijas, b=25mm, solis 300mm</t>
  </si>
  <si>
    <t>Zāģmateriāli 25x100mm (C24 klase)</t>
  </si>
  <si>
    <t>Šķērslatojuma izbūve zem pārseguma koka konstrukcijas, b=35mm, solis 600mm</t>
  </si>
  <si>
    <t>Akmens vates siltumizolācijas slāņa izveide starp pārseguma koka sijām, b=100+100mm</t>
  </si>
  <si>
    <t>Paroc Ultra (EXtra) Akmens Vate Plāksnēs 100x610x1220mm</t>
  </si>
  <si>
    <t>Essve Skrūves Finierim Un OSB Koka Karkasam 4.2x55mm, Spīdīgi Cinkotas (500gab)</t>
  </si>
  <si>
    <t>Kronospan Superfinish TG4 OSB-3 2500x625x12mm Plāksne Ar Spundi</t>
  </si>
  <si>
    <t>Koka pārseguma konstrukcija</t>
  </si>
  <si>
    <t>Šķērslatojuma izbūve virs pārseguma koka konstrukcijas, b=35mm, solis 600mm</t>
  </si>
  <si>
    <t>OSB kokskaidu plātņu montāža virs pārseguma koka konstrukcijas, b=12mm</t>
  </si>
  <si>
    <t>Lokālā tāme Nr.10</t>
  </si>
  <si>
    <t>Cokola apdare</t>
  </si>
  <si>
    <t>Fasādes sienu siltināšana un apdare ar dekoratīvo apmetumu</t>
  </si>
  <si>
    <t>PVC Lāsotājs Ar Sietu Cokola Profilam</t>
  </si>
  <si>
    <t>Papildmateriāli (dībeļnaglas, distanceri cokola profilam, u.c.)</t>
  </si>
  <si>
    <t>Sakret BAK Pelēkā Līmēšanas Un Armēšanas Java Siltumizolācijas Plātnēm</t>
  </si>
  <si>
    <t xml:space="preserve">Armējošā slāņa izveide, iestrādājot armējošo stiklašķiedras sietu (1 kārtā) līmjavas kārtā </t>
  </si>
  <si>
    <t>Fasādes Stūris Fasādes Ēku Siltināšanai PVC+ Siets 100x150x2500mm</t>
  </si>
  <si>
    <t xml:space="preserve">Sakret Fasādes Stiklašķiedras Siets 1.1X10m (Valmieras) </t>
  </si>
  <si>
    <t>Armējošā slāņa gruntēšana pirms dekoratīvā apmetuma ierīkošanas</t>
  </si>
  <si>
    <t>Sakret PG Grunts Pirms Dekoratīvā Apmetuma</t>
  </si>
  <si>
    <t>Grunts tonēšana</t>
  </si>
  <si>
    <t>Gatavā dekoratīvā apmetuma ierīkošana</t>
  </si>
  <si>
    <t>Sakret SIP Gatavais Silikona Sveķu Tonējamais Dekoratīvais Apmetums (Biezpiens) 1,5 mm</t>
  </si>
  <si>
    <t>Gatavā dekoratīvā apmetuma tonēšana</t>
  </si>
  <si>
    <t>Fasādes Cokola Profils (L=2000) 50x0,6</t>
  </si>
  <si>
    <t>Cokola profila ar lāseni montāža, b=50mm</t>
  </si>
  <si>
    <t>Sienu siltināšana ar fasādes akmens vates plāksnēm, b=50mm</t>
  </si>
  <si>
    <t>Wkret-Met Fasādes Izolācijas Dībelis Ar Metāla Naglu (Garā Izplešanās Zona) 10X180mm</t>
  </si>
  <si>
    <t>Paroc Linio 15 50x600x1200mm Akmens Vate Plāksnēs Fasādei</t>
  </si>
  <si>
    <t>Sastatņu montāža un demontāža</t>
  </si>
  <si>
    <t>Sastatņu piegāde, aizvešana ar manipulatoru</t>
  </si>
  <si>
    <t>Sastatņu, pastatņu noma</t>
  </si>
  <si>
    <t>Sastatnes, u.c. sagatavošanas darbi</t>
  </si>
  <si>
    <t>Bi armatūra, 4m, d=4mm</t>
  </si>
  <si>
    <t>WEBER M 100/600 mūrjava</t>
  </si>
  <si>
    <t>maisi</t>
  </si>
  <si>
    <t>Keramzītbetona pārsedzes</t>
  </si>
  <si>
    <t>Keramzītbetona pārsedžu montāža</t>
  </si>
  <si>
    <t>Sienu mūrēšana no keramzītblokiem, b=200mm</t>
  </si>
  <si>
    <t>Metāla karkasa izbūve ģipškartona starpsienām (Knauf W112 sistēma), b=50mm</t>
  </si>
  <si>
    <t>Knauf Reģipša Metāla Profils UW 50/40/0.6</t>
  </si>
  <si>
    <t>Knauf Reģipša Metāla Profils CW 50/50/0.6</t>
  </si>
  <si>
    <t>Knauf Amortizācijas Lenta 3.2x50mm, 30m, Pašlīmējoša</t>
  </si>
  <si>
    <t>KNAUF Dībeļnagla K6/50 100gab.</t>
  </si>
  <si>
    <t>KNAUF Skrūves reģipša profiliem LN 3,5x11MM/1000gab.</t>
  </si>
  <si>
    <t>Akmens vates skaņas izolācijas ierīkošana starpsienām starp metāla karkasu, b=50mm</t>
  </si>
  <si>
    <t>PAROC Ultra (EXtra) Akmens Vate Plāksnēs 50x610x1220mm</t>
  </si>
  <si>
    <t>Starpsienu karkasa apšūšana ar ģipškartona plāksnēm no abām pusēm (1.kārta)</t>
  </si>
  <si>
    <t>Knauf White (GKB) Standarta Reģipsis (Ģipškartons), mitrajās telpās - Knauf Green (GKBI) Mitrumizturīgs Reģipsis (Ģipškartons)</t>
  </si>
  <si>
    <t>Knauf Reģipša Skrūve Ar Smalku Vītni 3.5x25mm (1000gab)</t>
  </si>
  <si>
    <t>Starpsienu karkasa apšūšana ar ģipškartona plāksnēm no abām pusēm (2.kārta)</t>
  </si>
  <si>
    <t>Knauf Reģipša Skrūve Ar Smalku Vītni 3.5x35mm (1000gab)</t>
  </si>
  <si>
    <t>Ģipškartona starpsienas (S-5), b=100mm</t>
  </si>
  <si>
    <t>Inventārveidņu montāža monolītā dzelzsbetona sienas betonēšanai, demontāža</t>
  </si>
  <si>
    <t>Stiegrojuma montāža monolītā dzelzsbetona sienas betonēšanai</t>
  </si>
  <si>
    <t>Monolītā dzelzsbetona sienas betonēšana, b=145mm</t>
  </si>
  <si>
    <t>Monolītā dzelzsbetona siena S-6</t>
  </si>
  <si>
    <t>Keramzītbloku sienas S-2; S-4, b=200mm</t>
  </si>
  <si>
    <t>P1-1 Fibo Keramzītbetona Pārsedze, 2090x200x185mm</t>
  </si>
  <si>
    <t>P1-3 Fibo Keramzītbetona Pārsedze, 2690x200x185mm</t>
  </si>
  <si>
    <t>P1-4 Fibo Keramzītbetona Pārsedze, 1190x200x185mm</t>
  </si>
  <si>
    <t>P1-5 Fibo Keramzītbetona Pārsedze, 1190x200x185mm</t>
  </si>
  <si>
    <t>Lokālā tāme Nr.6</t>
  </si>
  <si>
    <t>Veidņu montāža un demontāža monolītās dzelzsbetona joslas betonēšanai</t>
  </si>
  <si>
    <t>Papildmateriāli (Zāģmateriāli, skrūves, metāla stiprinājumi, vītņstieņi, uzgriežņi, paplāksnes, dībeļnaglas, u.c.)</t>
  </si>
  <si>
    <t xml:space="preserve">Stiegrojuma montāža monolītās dzelzsbetona joslas betonēšanai </t>
  </si>
  <si>
    <t>Armatūra D=12mm (Garenstiegras)</t>
  </si>
  <si>
    <t>Armatūra D=8mm (Aptveres)</t>
  </si>
  <si>
    <t>Monolītās dzelzsbetona joslas betonēšana b=200mm; h=200mm</t>
  </si>
  <si>
    <t>Monolītā dzelzsbetona josla virs mūra ārsienām, b=200mm, h=200mm</t>
  </si>
  <si>
    <t>TECHNONICOL Ruberoīds RPPo-300</t>
  </si>
  <si>
    <t>TECHNONICOL Nr.24 (MGTN) Bitumena Mastika Vispārējai Hidroizolācijai</t>
  </si>
  <si>
    <t>Horizontālās hidroizolācijas ierīkošana (2 kārtās), b=200mm</t>
  </si>
  <si>
    <t>Lokālā tāme Nr.11</t>
  </si>
  <si>
    <t>Kaļķa apmetuma ierīkošana sienām</t>
  </si>
  <si>
    <t>Knauf Stuc-Primer Grunts Uzsūcošām Virsmām</t>
  </si>
  <si>
    <t>Kaļķa javas apmetums (frakcijas izmērs 0-2 mm)</t>
  </si>
  <si>
    <t>Stiklšķiedras armējuma siets, sieta acs izmērs 7x7mm</t>
  </si>
  <si>
    <t>Sienu špaktelēšana, krāsošana</t>
  </si>
  <si>
    <t>Apmesto sienu gruntēšana, špaktelēšana, slīpēšana, ieskaitot logu, durvju ailas</t>
  </si>
  <si>
    <t>Knauf Tiefengrund Dziļumgrunts</t>
  </si>
  <si>
    <t>Weber LR + Nobeiguma Špaktele</t>
  </si>
  <si>
    <t>Knauf Super Finish Universālā Gatavā Špaktele, Zaļš</t>
  </si>
  <si>
    <t>Grunts Flugger Combi Primer</t>
  </si>
  <si>
    <t>Gruntskrāsas, krāsas tonēšana (Gaišā tonī)</t>
  </si>
  <si>
    <t>Papildmateriāli (Līmlentas, plēve, akrils, u.c.)</t>
  </si>
  <si>
    <t>Mapei Mapeband Easy H130 Hidroizolācijas Gumijas Lenta 13cm</t>
  </si>
  <si>
    <t>Mapei Mapeguard WP 90 Hidroizolācijas Audums</t>
  </si>
  <si>
    <t>Mapei Mapegum WPS Hidroizolācija</t>
  </si>
  <si>
    <t>Knauf K6 Ātri Cietējoša Flīžu Līme Schnellkleber</t>
  </si>
  <si>
    <t>MAPEI Ultracolor Plus šuves pildviela</t>
  </si>
  <si>
    <t>Papildmateriāli (Flīžu krustiņi, silikons, u.c.)</t>
  </si>
  <si>
    <t>Lokālā tāme Nr.8</t>
  </si>
  <si>
    <t>Grīdas G-1 konstrukcija</t>
  </si>
  <si>
    <t>Vidēji rupja smilts ar piegādi</t>
  </si>
  <si>
    <t>Blietētas šķembu kārtas ierīkošana, b=150mm</t>
  </si>
  <si>
    <t>ELT-Pefoil 200 Celtniecības Polietilēna Tvaika Plēve</t>
  </si>
  <si>
    <t xml:space="preserve">Armatūras siets, D=8mm, 150x150mm </t>
  </si>
  <si>
    <t>Zettfix Starpsietu Metāla Ierobežotāji (Zig-Zag Veida) 120x2000mm</t>
  </si>
  <si>
    <t>Armatūras Sienamās Stieples Ar Cilpām 140mm (1000gb.)</t>
  </si>
  <si>
    <t>Armatūras sieta montāža grīdas plātnei</t>
  </si>
  <si>
    <t>U-FIX Armatūras Distanceri Grīdu Betonēšanai 50x2000mm</t>
  </si>
  <si>
    <t>Mapei Mapetop N AR6 Pulverveida Cietinātājs Betona Grīdām</t>
  </si>
  <si>
    <t>Grīdas plātnes virsmas slīpēšana, iestrādājot cietinātāju grīdas virsmā</t>
  </si>
  <si>
    <t>Grīdas G-2 konstrukcija</t>
  </si>
  <si>
    <t>Epoksīda polimēra grīdas pārklājums, t=2-5mm</t>
  </si>
  <si>
    <t>Grīdas G-3 konstrukcija</t>
  </si>
  <si>
    <t>Grīdas G-5 konstrukcija</t>
  </si>
  <si>
    <t xml:space="preserve">Armatūras siets, D=6mm, 150x150mm </t>
  </si>
  <si>
    <t>Grīdas plātnes betonēšana, b=100mm</t>
  </si>
  <si>
    <t>Flīžu grīdas segums</t>
  </si>
  <si>
    <t>Grīdas flīzēšana, šuvošana</t>
  </si>
  <si>
    <t>Lokālā tāme Nr.13</t>
  </si>
  <si>
    <t>Lokālā tāme Nr.12</t>
  </si>
  <si>
    <t>Knauf Betokontakt Grunts Blīvām Neuzsūcošām Virsmām</t>
  </si>
  <si>
    <t>Ģipškartona sienu špaktelēšana, slīpēšana</t>
  </si>
  <si>
    <t>Knauf Sietlenta 48mm, 90m, Pašlīmējoša</t>
  </si>
  <si>
    <t>Knauf Uniflott Šuvju Ģipša Špaktele</t>
  </si>
  <si>
    <t>Papildmateriāli (Stūra šinas, u.c.)</t>
  </si>
  <si>
    <t>Krāsa Flugger Flutex Pro 7</t>
  </si>
  <si>
    <t xml:space="preserve">Sienu gruntēšana, krāsošana </t>
  </si>
  <si>
    <t>Sienu apmetums</t>
  </si>
  <si>
    <t>Sienu flīzēšana, šuvošana</t>
  </si>
  <si>
    <t xml:space="preserve">Armatūras siets, D=12mm, 200x200mm </t>
  </si>
  <si>
    <t>Hidroizolācijas plēves ieklāšana</t>
  </si>
  <si>
    <t>Betons C30/37; XC1, XA3, XF3</t>
  </si>
  <si>
    <t>Bentonītmāla hidroizolācijas lenta</t>
  </si>
  <si>
    <t>Hdroizolējošās lentes montāža</t>
  </si>
  <si>
    <t>Bentonītmāla hidroizolācijas lentas montāža</t>
  </si>
  <si>
    <t>Sika Waterbar type DA</t>
  </si>
  <si>
    <t>Inventārveidņu montāža un demontāža monolītā dzlezsbetona sienām</t>
  </si>
  <si>
    <t>Monolītā dzelzsbetona sienu betonēšana</t>
  </si>
  <si>
    <t>Stiegrojuma montāža monolītā dzelzsbetona sienām</t>
  </si>
  <si>
    <t>Saliekamās dz/b grīdas redeles</t>
  </si>
  <si>
    <t>Saliekamās dz/b grīdas redeles montāža šķidrmēslu krātuvei</t>
  </si>
  <si>
    <t>Dzelzsbetona groda montāža</t>
  </si>
  <si>
    <t>35</t>
  </si>
  <si>
    <t>Kolonnu balsta vietu apbetonēšana ar bezrukuma javu</t>
  </si>
  <si>
    <t>Sakret RM Bezrukuma java</t>
  </si>
  <si>
    <t>Šķidrmēslu šķērskanāla sienu hidroizolācijas ierīkošana</t>
  </si>
  <si>
    <t>Grunts blietēšana zem šķidrmēslu šķērskanāla</t>
  </si>
  <si>
    <t>Blietētas šķembu kārtas ierīkošana zem šķidrmēslu šķērskanāla, b=150mm</t>
  </si>
  <si>
    <t>GR 30-9D (3200X3000X900) grods ar pamatni</t>
  </si>
  <si>
    <t>GR 30-9 (3200X3000X900) grods</t>
  </si>
  <si>
    <t>PE caurteka DN/ID 800mm</t>
  </si>
  <si>
    <t>Caurtekas montāža, d=800mm</t>
  </si>
  <si>
    <t>Papildmaterīāli</t>
  </si>
  <si>
    <t>10</t>
  </si>
  <si>
    <t>11</t>
  </si>
  <si>
    <t>12</t>
  </si>
  <si>
    <t>13</t>
  </si>
  <si>
    <t>14</t>
  </si>
  <si>
    <t>15</t>
  </si>
  <si>
    <t>16</t>
  </si>
  <si>
    <t>20</t>
  </si>
  <si>
    <t>21</t>
  </si>
  <si>
    <t>22</t>
  </si>
  <si>
    <t>24</t>
  </si>
  <si>
    <t>25</t>
  </si>
  <si>
    <t>26</t>
  </si>
  <si>
    <t>30</t>
  </si>
  <si>
    <t>31</t>
  </si>
  <si>
    <t>32</t>
  </si>
  <si>
    <t>34</t>
  </si>
  <si>
    <t>36</t>
  </si>
  <si>
    <t>40</t>
  </si>
  <si>
    <t>41</t>
  </si>
  <si>
    <t>45</t>
  </si>
  <si>
    <t>46</t>
  </si>
  <si>
    <t>Monolītā dzelzsbetona pārsedze P1-2, b=200mm, h=185mm, l=5945mm</t>
  </si>
  <si>
    <t>Veidņu montāža un demontāža monolītās dzelzsbetona pārsedzes betonēšanai</t>
  </si>
  <si>
    <t>Monolītās dzelzsbetona pārsedzes betonēšana</t>
  </si>
  <si>
    <t>Armatūra D=16mm (Garenstiegras)</t>
  </si>
  <si>
    <t>Pandusu izbūve</t>
  </si>
  <si>
    <t>Veidņu montāža un demontāža monolītā dzelzsbetona pandusa plātnes betonēšanai</t>
  </si>
  <si>
    <t>Armatūras sieta montāža pandusu plātnei</t>
  </si>
  <si>
    <t>Pandusa plātnes betonēšana, b=150mm</t>
  </si>
  <si>
    <t>Laminētā saplākšņa plātņu montāža zem pārseguma koka konstrukcijas, b=12mm</t>
  </si>
  <si>
    <t>Laminēts (Mitrumizturīgs) Finieris 2500x1250x12mm Bērzs, F/F, EXT, 1. Šķira, Tumši Brūns</t>
  </si>
  <si>
    <t>Dzegas apdares skārda detaļas montāža</t>
  </si>
  <si>
    <t>Dzegas apdares skārda detaļa</t>
  </si>
  <si>
    <t>Kopā (bez PVN 21%):</t>
  </si>
  <si>
    <t>Pavisam kopā (ar PVN 21%):</t>
  </si>
  <si>
    <t>DN50, SDR11, PN16</t>
  </si>
  <si>
    <t>Barības torņa pamats BT-1</t>
  </si>
  <si>
    <t>Elektrotehniskie mērījumi</t>
  </si>
  <si>
    <t>Obj</t>
  </si>
  <si>
    <t>Kabeļu marķējums</t>
  </si>
  <si>
    <t>Rozetes un slēdžu marķējums</t>
  </si>
  <si>
    <t>Sadalne GS v/a 180mod 800x800x160mm balta ar durvīm IP44 FWB</t>
  </si>
  <si>
    <t>Rāmis 1-v</t>
  </si>
  <si>
    <t>Rāmis 5-v</t>
  </si>
  <si>
    <t>Sienas montāžas karba</t>
  </si>
  <si>
    <t>Slēdzis 1p,IP20, Z/A, k-tā ar rāmi</t>
  </si>
  <si>
    <t>Slēdzis 2p,IP20, Z/A, k-tā ar rāmi</t>
  </si>
  <si>
    <t>Rozete IP20 16A, ar zemējumu, Z/A</t>
  </si>
  <si>
    <t>Kombinētā kontaktligzda 3P+N+E 16A 400V +Schucko 230V IP44 16A, ar zemējumu, V/A</t>
  </si>
  <si>
    <t>Kabeļu rene 200x60mm, l=3m</t>
  </si>
  <si>
    <t>Kabeļu trepe 400x60mm, l=3m</t>
  </si>
  <si>
    <t>Profils/iekare 200mm renēm no apakšas</t>
  </si>
  <si>
    <t>Ugunsdrošais pasākumi</t>
  </si>
  <si>
    <t>Ugunsdrošais blīvējums stārpsienās un pārsegumā</t>
  </si>
  <si>
    <t>obj</t>
  </si>
  <si>
    <t>Kabelis NYM-J 3X4 mm2</t>
  </si>
  <si>
    <t>Kabelis NYY-J 5X10 mm2</t>
  </si>
  <si>
    <t>Kabelis N07V-K-1x6 mm2</t>
  </si>
  <si>
    <t>Kabelis N07V-K-1x10 mm2</t>
  </si>
  <si>
    <t>Gofrēta dubultsienu caurule 40 mm, 450N, sarkana</t>
  </si>
  <si>
    <t>Kabeļu stiprinājumi (100 gab.)</t>
  </si>
  <si>
    <t>Caurules stiprinājumi (100 gab.)</t>
  </si>
  <si>
    <t>Grīdas plātnes betonēšana, b=180mm</t>
  </si>
  <si>
    <t>Grīdas plātnes betonēšana, b=150/445mm</t>
  </si>
  <si>
    <t>Iegremdējams kanalizācijas sūknis</t>
  </si>
  <si>
    <t>P=1,1kW, DN32</t>
  </si>
  <si>
    <t>caurulei DN20, b=20mm</t>
  </si>
  <si>
    <t>Pamatu plātnes betonēšana, b=200mm</t>
  </si>
  <si>
    <t>Blietētas šķembu kārtas ierīkošana zem šķidrmēslu krātuves pamatu plātnes, b=150mm</t>
  </si>
  <si>
    <t>Grunts blietēšana zem šķidrmēslu krātuves pamatu plātnes</t>
  </si>
  <si>
    <t>Lokālā tāme Nr.14</t>
  </si>
  <si>
    <t>Lokālā tāme Nr.2</t>
  </si>
  <si>
    <t>Lokālā tāme Nr.1</t>
  </si>
  <si>
    <t>Metāla paneļu žogs</t>
  </si>
  <si>
    <t>U-veida skava 40x60mm</t>
  </si>
  <si>
    <t>Iebraucamie un ieejas vārti</t>
  </si>
  <si>
    <t>Cinkotas žoga atgāznis 40x60</t>
  </si>
  <si>
    <t>Žoga stabs ar cepurīti 2m taisnstūrprofila 40x60mm, 1.5mm, Cinkots</t>
  </si>
  <si>
    <t>3D Paņeļu Žogs, Cinkots 1,53x2,5m, acs 50x50mm, stieple Ø5mm</t>
  </si>
  <si>
    <t>Papildmateriāli (Betons, u.c.)</t>
  </si>
  <si>
    <t>Drenāžas Caurule PipeLife PVC Ar Kokosa Filtru D128/D113</t>
  </si>
  <si>
    <t>Drenāžas Caurule PipeLife PVC Ar Kokosa Filtru D92/D80</t>
  </si>
  <si>
    <t>Drenāžas caurules izbūve</t>
  </si>
  <si>
    <t>Drenāžas sistēma</t>
  </si>
  <si>
    <t>Šķembu pildījums membrānas nofiksēšanai</t>
  </si>
  <si>
    <t>Papildmateriāli (Fiksatori, blīvmateriāli, u.c.)</t>
  </si>
  <si>
    <t>Papildmateriāli (Savienojumi, blīvmateriāli, u.c.)</t>
  </si>
  <si>
    <t>Drenāžas skataka</t>
  </si>
  <si>
    <t>Blietētas šķembu kārtas ierīkošana zem drenāžas skatakas, b=150mm</t>
  </si>
  <si>
    <t>Grunts blietēšana zem drenāžas skatakas</t>
  </si>
  <si>
    <t>Kanalizācijas betona grods KC 10-9
1000x900x100</t>
  </si>
  <si>
    <t>Kanalizācijas betona grods ar pamatni
KCD 10-9 1000x900x100</t>
  </si>
  <si>
    <t>Kanalizācijas groda vāks KC-10-15</t>
  </si>
  <si>
    <t>Kanalizācijas lūka B125 ar vāku</t>
  </si>
  <si>
    <t>Papildmateriāli (Mūrjava, u.c.)</t>
  </si>
  <si>
    <t>Drenāžas skatakas grodu montāža</t>
  </si>
  <si>
    <t>Ģeomembrāna HDPE</t>
  </si>
  <si>
    <t>Grunts blietēšana zem ģeomembrānas</t>
  </si>
  <si>
    <t>Kūtsmēslu krātuves rakšana mehanizēti</t>
  </si>
  <si>
    <t xml:space="preserve">Virsējās augsnes kārtas norakšana, b=400-700mm </t>
  </si>
  <si>
    <t>Virsējās augsnes kārtas izvešana atbērtnē 150 m attālumā tālāk izmantošanai, būvlaukuma teritorijā</t>
  </si>
  <si>
    <t>Betons C30/37; XC2, XA1, XF2</t>
  </si>
  <si>
    <t>Betons C40/50; XC3, XA3, XF3</t>
  </si>
  <si>
    <t>Stiegrojuma montāža monolītā barības torņa pamatnē</t>
  </si>
  <si>
    <t>Monolītā dzelzsbetona barības torņa pamatnes betonēšana</t>
  </si>
  <si>
    <t>Drenējošas smilts kārtas izbūve b=400mm, blietēšana pa kārtām</t>
  </si>
  <si>
    <t>Melnzeme no zemes darbu atbērtnes</t>
  </si>
  <si>
    <t xml:space="preserve">Virsējās augsnes kārtas norakšana, b=400mm </t>
  </si>
  <si>
    <t>Virsējās augsnes kārtas izvešana atbērtnē 50 m attālumā tālāk izmantošanai, būvlaukuma teritorijā</t>
  </si>
  <si>
    <t>Uzbēruma izbūve kūtsmēlsu krātuvei, t.sk. grunts blietēšana, plaknes līdzināšana</t>
  </si>
  <si>
    <t>Membrāna HDPE 2 mm</t>
  </si>
  <si>
    <t>Ģeomembrānas HDPE plēves ieklāšana/kausēšana kūtsmēslu krātuves pamatnei</t>
  </si>
  <si>
    <t>Divviru Vārtu 6x1.45m, cinkoti ar stabiem montāža</t>
  </si>
  <si>
    <t>Tērauda konstrukciju pretkorozijas apstrāde karstā cinkošana ar iegremdēšanas metodi. Kopējais minimālais cinka plēves biezums 85µm. atbilstoši LVS EN ISO 1461:2022 3. tabula.</t>
  </si>
  <si>
    <t>V-2  sekciju tipa vārti ar
elektrisko pacēlāju; tonis un furnitūra - atbilstoši būvprojektam</t>
  </si>
  <si>
    <t>V-3 - Sekciju tipa vārti ar
elektrisko pacēlāju; tonis un furnitūra - atbilstoši būvprojektam</t>
  </si>
  <si>
    <t>V-4 - Sekciju tipa vārti ar
elektrisko pacēlāju; tonis un furnitūra - atbilstoši būvprojektam</t>
  </si>
  <si>
    <t>V-1 - Sekciju tipa vārti ar
elektrisko pacēlāju; tonis un furnitūra - atbilstoši būvprojektam</t>
  </si>
  <si>
    <t>L-1 - PVC rāmja logs ar divu stiklu pakešu pildījumu, ieskaitot difūzijas lentu montāžu; tonis un furnitūra - atbilstoši būvprojektam</t>
  </si>
  <si>
    <t>D-3 - PVC rāmja durvis ar pildiņa pildījumu; tonis un furnitūra - atbilstoši būvprojektam</t>
  </si>
  <si>
    <t>D-2 - PVC rāmja durvis ar pildiņa pildījumu; tonis un furnitūra - atbilstoši būvprojektam</t>
  </si>
  <si>
    <t>D-1 - PVC rāmja durvis ar pildiņa pildījumu; tonis un furnitūra - atbilstoši būvprojektam</t>
  </si>
  <si>
    <t xml:space="preserve"> Metāla Karnīze 0,50mm,137mm</t>
  </si>
  <si>
    <t xml:space="preserve"> Metāla Vējdēlis 0,50mm,130x155mm</t>
  </si>
  <si>
    <t xml:space="preserve"> Metāla Kore 0,50mm,170x340mm</t>
  </si>
  <si>
    <t xml:space="preserve"> ūdensnotekas Tekne Ø 125mm</t>
  </si>
  <si>
    <t xml:space="preserve"> Ūdensnotekas Teknes gals Ø125mm</t>
  </si>
  <si>
    <t xml:space="preserve"> ūdensnotekas Teknes āķis īsais Ø125mm</t>
  </si>
  <si>
    <t xml:space="preserve"> Ūdensnotekas Konektors Ø125/90mm</t>
  </si>
  <si>
    <t xml:space="preserve"> ūdensnotekas Caurule Ø90mm</t>
  </si>
  <si>
    <t>I ūdensnotekas Līkums Ø90mm</t>
  </si>
  <si>
    <t xml:space="preserve"> ūdensnotekas caurules lejasgals Ø90mm</t>
  </si>
  <si>
    <t xml:space="preserve"> ūdensnotekas kronšteins</t>
  </si>
  <si>
    <t xml:space="preserve">Sienu flīzēšana </t>
  </si>
  <si>
    <t>Sienu hidroizolācijas ierīkošana telpā 1.4</t>
  </si>
  <si>
    <t>Sienu apstrāde ar hidrofobu pārklājumu</t>
  </si>
  <si>
    <t>Vincents polyline HIDROFOBS</t>
  </si>
  <si>
    <t xml:space="preserve">Keramikas flīzes
</t>
  </si>
  <si>
    <t xml:space="preserve">Akmens masas flīzes
</t>
  </si>
  <si>
    <t xml:space="preserve"> T35 Metāla Jumta Segums (Matēts) 0.50mm </t>
  </si>
  <si>
    <t>kopl.</t>
  </si>
  <si>
    <t>Cokola siltināšana un apdare ar dekoratīvo apmetumu</t>
  </si>
  <si>
    <t>Ekstrudētais putupolistirols EPS150 50x600x1200mm</t>
  </si>
  <si>
    <t xml:space="preserve">BBR Keramzīta Bloki 3MPA 200mm </t>
  </si>
  <si>
    <t>Šķidrmēslu šķērskanāls K-2</t>
  </si>
  <si>
    <t>Veidņu montāža kanāla pārsegumam</t>
  </si>
  <si>
    <t>Stiegrojuma montāža monolītā dzelzsbetona pārsegumā</t>
  </si>
  <si>
    <t>Monolītā dzelzsbetona pārseguma betonēšana</t>
  </si>
  <si>
    <t>Caurtekas ribu aizpildīšana ar smalkgraudainu cementa javu</t>
  </si>
  <si>
    <t>Šķidrmēslu kanāli</t>
  </si>
  <si>
    <t>Šķidrmēslu kanāls K-1</t>
  </si>
  <si>
    <t>Veidņu montāža grīdas plātnēm</t>
  </si>
  <si>
    <t>Armatūras sieta montāža grīdas plātnēm divās kārtās</t>
  </si>
  <si>
    <t>Lietus ūdens kanalizācijas cauruļvadi</t>
  </si>
  <si>
    <t>Lietus ūdens kanalizācijas cauruļvadu montāža D160</t>
  </si>
  <si>
    <t>Ārējās Kanalizācijas Caurule PVC SN8 D160</t>
  </si>
  <si>
    <t>Papildmateriāli (Savienojumi, smilts pabērumam, blīvmateriāli, u.c.)</t>
  </si>
  <si>
    <t>Lietus ūdens kanalizācijas cauruļvadu montāža D200</t>
  </si>
  <si>
    <t>Ārējās Kanalizācijas Caurule PVC SN8 D200</t>
  </si>
  <si>
    <t>Skatakas</t>
  </si>
  <si>
    <t>Skataka ar pamatni un ķeta vāku montāža D400</t>
  </si>
  <si>
    <t>Skataka ar pamatni un ķeta vāku</t>
  </si>
  <si>
    <t>Lietus ūdens kanalizācijas tīkli - LKT</t>
  </si>
  <si>
    <t>Spiedvada montāža</t>
  </si>
  <si>
    <t>Spiedvads DN110</t>
  </si>
  <si>
    <t>Drenējošas smilts kārtas izbūve b=550mm, blietēšana pa kārtām</t>
  </si>
  <si>
    <t>Betons C40/50 , XC3, XA3, XF3</t>
  </si>
  <si>
    <t>Ģenerātora pamatnes betonēšana</t>
  </si>
  <si>
    <t>Pamatnes betonēšana, b=150mm</t>
  </si>
  <si>
    <t>Grīdas rievojuma zāģēšana</t>
  </si>
  <si>
    <t>Grīdas plātnes betonēšana, b=150mm, virsma birstēta</t>
  </si>
  <si>
    <t>Veidņu montāža telpas 1.4. grīdas padziļinājuma</t>
  </si>
  <si>
    <t>Santehnika</t>
  </si>
  <si>
    <t>Grohe Bau Ceramic Rimless tualetes pods ar lēni nolaižamu vāku 39496000</t>
  </si>
  <si>
    <t>Izlietne VIL51, Izlietnes kāja GUS59</t>
  </si>
  <si>
    <t>Slēgtā dušas kabīne GOTLAND 90x90x215cm</t>
  </si>
  <si>
    <t>Apkures radiātori</t>
  </si>
  <si>
    <t>Elektriskais sienas radiātors 2.5kW</t>
  </si>
  <si>
    <t>19</t>
  </si>
  <si>
    <t>17</t>
  </si>
  <si>
    <t>23</t>
  </si>
  <si>
    <t>18</t>
  </si>
  <si>
    <t>27</t>
  </si>
  <si>
    <t>28</t>
  </si>
  <si>
    <t>29</t>
  </si>
  <si>
    <t>33</t>
  </si>
  <si>
    <t>38</t>
  </si>
  <si>
    <t>43</t>
  </si>
  <si>
    <t>48</t>
  </si>
  <si>
    <t>Sert.Nr.</t>
  </si>
  <si>
    <t>datums</t>
  </si>
  <si>
    <t xml:space="preserve">Tāme sastādīta: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</si>
</sst>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\+#,##0.00;[Red]\-#,##0.00"/>
    <numFmt numFmtId="165" formatCode="#,##0.0"/>
    <numFmt numFmtId="166" formatCode="#,##0.00_ ;\-#,##0.00\ "/>
    <numFmt numFmtId="167" formatCode="_(* #,##0.00_);_(* \(#,##0.00\);_(* &quot;-&quot;??_);_(@_)"/>
    <numFmt numFmtId="168" formatCode="#,##0.000"/>
    <numFmt numFmtId="169" formatCode="#,##0.0000"/>
    <numFmt numFmtId="170" formatCode="_-* #,##0.00\ _L_s_-;\-* #,##0.00\ _L_s_-;_-* &quot;-&quot;??\ _L_s_-;_-@_-"/>
    <numFmt numFmtId="171" formatCode="0.0%"/>
  </numFmts>
  <fonts count="5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10"/>
      <name val="Helv"/>
    </font>
    <font>
      <b/>
      <sz val="10"/>
      <name val="Tahoma"/>
      <family val="2"/>
    </font>
    <font>
      <sz val="10"/>
      <name val="Arial"/>
      <family val="2"/>
      <charset val="186"/>
    </font>
    <font>
      <sz val="9"/>
      <name val="Tahoma"/>
      <family val="2"/>
      <charset val="186"/>
    </font>
    <font>
      <b/>
      <sz val="9"/>
      <name val="Tahoma"/>
      <family val="2"/>
      <charset val="186"/>
    </font>
    <font>
      <b/>
      <sz val="9"/>
      <name val="Tahoma"/>
      <family val="2"/>
    </font>
    <font>
      <sz val="11"/>
      <color indexed="8"/>
      <name val="Calibri"/>
      <family val="2"/>
      <charset val="186"/>
    </font>
    <font>
      <b/>
      <u/>
      <sz val="12"/>
      <name val="Tahoma"/>
      <family val="2"/>
      <charset val="186"/>
    </font>
    <font>
      <b/>
      <sz val="12"/>
      <name val="Tahoma"/>
      <family val="2"/>
      <charset val="186"/>
    </font>
    <font>
      <b/>
      <i/>
      <sz val="10"/>
      <name val="Tahoma"/>
      <family val="2"/>
      <charset val="186"/>
    </font>
    <font>
      <sz val="11"/>
      <name val="Tahoma"/>
      <family val="2"/>
      <charset val="186"/>
    </font>
    <font>
      <sz val="8"/>
      <name val="Tahoma"/>
      <family val="2"/>
      <charset val="186"/>
    </font>
    <font>
      <sz val="14"/>
      <name val="Tahoma"/>
      <family val="2"/>
      <charset val="186"/>
    </font>
    <font>
      <i/>
      <sz val="10.5"/>
      <name val="Tahoma"/>
      <family val="2"/>
      <charset val="186"/>
    </font>
    <font>
      <b/>
      <i/>
      <sz val="10.5"/>
      <name val="Tahoma"/>
      <family val="2"/>
      <charset val="186"/>
    </font>
    <font>
      <i/>
      <sz val="10"/>
      <name val="Tahoma"/>
      <family val="2"/>
      <charset val="186"/>
    </font>
    <font>
      <i/>
      <sz val="9"/>
      <name val="Tahoma"/>
      <family val="2"/>
      <charset val="186"/>
    </font>
    <font>
      <i/>
      <sz val="9"/>
      <color indexed="8"/>
      <name val="Tahoma"/>
      <family val="2"/>
      <charset val="186"/>
    </font>
    <font>
      <i/>
      <sz val="9"/>
      <name val="Tahoma"/>
      <family val="2"/>
    </font>
    <font>
      <b/>
      <i/>
      <sz val="9"/>
      <name val="Tahoma"/>
      <family val="2"/>
    </font>
    <font>
      <sz val="9"/>
      <name val="Tahoma"/>
      <family val="2"/>
    </font>
    <font>
      <sz val="8"/>
      <name val="Tahoma"/>
      <family val="2"/>
    </font>
    <font>
      <b/>
      <sz val="8"/>
      <name val="Tahoma"/>
      <family val="2"/>
      <charset val="186"/>
    </font>
    <font>
      <sz val="9"/>
      <color indexed="8"/>
      <name val="Tahoma"/>
      <family val="2"/>
      <charset val="186"/>
    </font>
    <font>
      <b/>
      <i/>
      <u/>
      <sz val="10"/>
      <name val="Tahoma"/>
      <family val="2"/>
      <charset val="186"/>
    </font>
    <font>
      <b/>
      <i/>
      <sz val="12"/>
      <name val="Tahoma"/>
      <family val="2"/>
      <charset val="186"/>
    </font>
    <font>
      <sz val="10"/>
      <color indexed="8"/>
      <name val="MS Sans Serif"/>
      <family val="2"/>
      <charset val="186"/>
    </font>
    <font>
      <b/>
      <i/>
      <u/>
      <sz val="8"/>
      <name val="Tahoma"/>
      <family val="2"/>
      <charset val="186"/>
    </font>
    <font>
      <vertAlign val="superscript"/>
      <sz val="9"/>
      <name val="Tahoma"/>
      <family val="2"/>
      <charset val="186"/>
    </font>
    <font>
      <b/>
      <i/>
      <sz val="9"/>
      <name val="Tahoma"/>
      <family val="2"/>
      <charset val="186"/>
    </font>
    <font>
      <b/>
      <i/>
      <u/>
      <sz val="10"/>
      <name val="Tahoma"/>
      <family val="2"/>
    </font>
    <font>
      <sz val="11"/>
      <name val="Tahoma"/>
      <family val="2"/>
    </font>
    <font>
      <sz val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9"/>
      <color theme="1"/>
      <name val="Tahoma"/>
      <family val="2"/>
      <charset val="186"/>
    </font>
    <font>
      <sz val="8"/>
      <color theme="1"/>
      <name val="Tahoma"/>
      <family val="2"/>
      <charset val="186"/>
    </font>
    <font>
      <sz val="9"/>
      <color theme="1"/>
      <name val="Tahoma"/>
      <family val="2"/>
    </font>
    <font>
      <b/>
      <sz val="9"/>
      <color rgb="FFFF0000"/>
      <name val="Tahoma"/>
      <family val="2"/>
      <charset val="186"/>
    </font>
    <font>
      <i/>
      <sz val="9"/>
      <color rgb="FFFF0000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9"/>
      <color theme="1"/>
      <name val="Tahoma"/>
      <family val="2"/>
      <charset val="186"/>
    </font>
    <font>
      <sz val="9"/>
      <color theme="1"/>
      <name val="Calibri"/>
      <family val="2"/>
      <charset val="186"/>
      <scheme val="minor"/>
    </font>
    <font>
      <sz val="9"/>
      <color rgb="FFFF0000"/>
      <name val="Tahoma"/>
      <family val="2"/>
      <charset val="186"/>
    </font>
    <font>
      <sz val="9"/>
      <color rgb="FFFF0000"/>
      <name val="Tahoma"/>
      <family val="2"/>
    </font>
    <font>
      <b/>
      <sz val="9"/>
      <color rgb="FFFF0000"/>
      <name val="Tahoma"/>
      <family val="2"/>
    </font>
    <font>
      <sz val="8"/>
      <color rgb="FFFF0000"/>
      <name val="Tahoma"/>
      <family val="2"/>
      <charset val="186"/>
    </font>
    <font>
      <b/>
      <i/>
      <sz val="9"/>
      <color rgb="FFFF0000"/>
      <name val="Tahoma"/>
      <family val="2"/>
    </font>
    <font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6">
    <xf numFmtId="0" fontId="0" fillId="0" borderId="0"/>
    <xf numFmtId="167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3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" fillId="0" borderId="0"/>
    <xf numFmtId="0" fontId="3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/>
    <xf numFmtId="0" fontId="4" fillId="0" borderId="0"/>
    <xf numFmtId="0" fontId="6" fillId="0" borderId="0"/>
    <xf numFmtId="0" fontId="6" fillId="0" borderId="0"/>
    <xf numFmtId="9" fontId="37" fillId="0" borderId="0" applyFont="0" applyFill="0" applyBorder="0" applyAlignment="0" applyProtection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26">
    <xf numFmtId="0" fontId="0" fillId="0" borderId="0" xfId="0"/>
    <xf numFmtId="0" fontId="2" fillId="0" borderId="0" xfId="7" applyFont="1" applyAlignment="1">
      <alignment horizontal="left" vertical="center"/>
    </xf>
    <xf numFmtId="0" fontId="3" fillId="0" borderId="0" xfId="7" applyFont="1" applyAlignment="1">
      <alignment horizontal="left" vertical="center"/>
    </xf>
    <xf numFmtId="0" fontId="11" fillId="0" borderId="0" xfId="7" applyFont="1" applyAlignment="1">
      <alignment horizontal="center" vertical="center"/>
    </xf>
    <xf numFmtId="0" fontId="39" fillId="0" borderId="0" xfId="0" applyFont="1"/>
    <xf numFmtId="0" fontId="2" fillId="0" borderId="0" xfId="7" applyFont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2" fillId="0" borderId="0" xfId="7" applyFont="1" applyAlignment="1">
      <alignment vertical="center"/>
    </xf>
    <xf numFmtId="0" fontId="14" fillId="0" borderId="0" xfId="7" applyFont="1" applyAlignment="1">
      <alignment horizontal="left" vertical="center"/>
    </xf>
    <xf numFmtId="0" fontId="14" fillId="0" borderId="0" xfId="13" applyFont="1" applyAlignment="1">
      <alignment horizontal="left" vertical="center"/>
    </xf>
    <xf numFmtId="0" fontId="2" fillId="0" borderId="0" xfId="7" applyFont="1" applyAlignment="1">
      <alignment horizontal="center" vertical="center" wrapText="1"/>
    </xf>
    <xf numFmtId="0" fontId="14" fillId="0" borderId="0" xfId="7" applyFont="1" applyAlignment="1">
      <alignment vertical="center"/>
    </xf>
    <xf numFmtId="49" fontId="14" fillId="0" borderId="0" xfId="13" quotePrefix="1" applyNumberFormat="1" applyFont="1" applyAlignment="1">
      <alignment horizontal="left" vertical="center"/>
    </xf>
    <xf numFmtId="4" fontId="14" fillId="0" borderId="0" xfId="7" applyNumberFormat="1" applyFont="1" applyAlignment="1">
      <alignment vertical="center"/>
    </xf>
    <xf numFmtId="4" fontId="2" fillId="0" borderId="0" xfId="7" applyNumberFormat="1" applyFont="1" applyAlignment="1">
      <alignment horizontal="center" vertical="center" wrapText="1"/>
    </xf>
    <xf numFmtId="2" fontId="3" fillId="0" borderId="0" xfId="7" applyNumberFormat="1" applyFont="1" applyAlignment="1">
      <alignment horizontal="center" vertical="center"/>
    </xf>
    <xf numFmtId="2" fontId="13" fillId="0" borderId="0" xfId="7" applyNumberFormat="1" applyFont="1" applyAlignment="1">
      <alignment horizontal="center" vertical="center"/>
    </xf>
    <xf numFmtId="0" fontId="3" fillId="0" borderId="0" xfId="7" applyFont="1" applyAlignment="1">
      <alignment horizontal="right" vertical="center"/>
    </xf>
    <xf numFmtId="4" fontId="3" fillId="0" borderId="0" xfId="7" applyNumberFormat="1" applyFont="1" applyAlignment="1">
      <alignment horizontal="center" vertical="center" shrinkToFit="1"/>
    </xf>
    <xf numFmtId="1" fontId="13" fillId="0" borderId="0" xfId="7" applyNumberFormat="1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4" fillId="0" borderId="0" xfId="7" applyFont="1" applyAlignment="1">
      <alignment horizontal="center" vertical="center" wrapText="1"/>
    </xf>
    <xf numFmtId="0" fontId="2" fillId="0" borderId="0" xfId="6" applyFont="1" applyAlignment="1">
      <alignment horizontal="right" vertical="center"/>
    </xf>
    <xf numFmtId="4" fontId="3" fillId="0" borderId="0" xfId="7" applyNumberFormat="1" applyFont="1" applyAlignment="1">
      <alignment horizontal="center" vertical="center" wrapText="1"/>
    </xf>
    <xf numFmtId="4" fontId="3" fillId="0" borderId="0" xfId="7" applyNumberFormat="1" applyFont="1" applyAlignment="1">
      <alignment horizontal="center" vertical="center"/>
    </xf>
    <xf numFmtId="4" fontId="7" fillId="0" borderId="1" xfId="7" applyNumberFormat="1" applyFont="1" applyBorder="1" applyAlignment="1">
      <alignment horizontal="center" vertical="center" shrinkToFit="1"/>
    </xf>
    <xf numFmtId="4" fontId="7" fillId="0" borderId="2" xfId="7" applyNumberFormat="1" applyFont="1" applyBorder="1" applyAlignment="1">
      <alignment horizontal="center" vertical="center" shrinkToFit="1"/>
    </xf>
    <xf numFmtId="4" fontId="7" fillId="0" borderId="3" xfId="7" applyNumberFormat="1" applyFont="1" applyBorder="1" applyAlignment="1">
      <alignment horizontal="center" vertical="center" shrinkToFit="1"/>
    </xf>
    <xf numFmtId="4" fontId="7" fillId="0" borderId="4" xfId="7" applyNumberFormat="1" applyFont="1" applyBorder="1" applyAlignment="1">
      <alignment horizontal="center" vertical="center" shrinkToFit="1"/>
    </xf>
    <xf numFmtId="4" fontId="7" fillId="0" borderId="5" xfId="7" applyNumberFormat="1" applyFont="1" applyBorder="1" applyAlignment="1">
      <alignment horizontal="center" vertical="center" shrinkToFit="1"/>
    </xf>
    <xf numFmtId="0" fontId="8" fillId="2" borderId="6" xfId="7" applyFont="1" applyFill="1" applyBorder="1" applyAlignment="1">
      <alignment vertical="center"/>
    </xf>
    <xf numFmtId="0" fontId="8" fillId="2" borderId="7" xfId="7" applyFont="1" applyFill="1" applyBorder="1" applyAlignment="1">
      <alignment vertical="center"/>
    </xf>
    <xf numFmtId="0" fontId="8" fillId="2" borderId="8" xfId="7" applyFont="1" applyFill="1" applyBorder="1" applyAlignment="1">
      <alignment horizontal="right" vertical="center"/>
    </xf>
    <xf numFmtId="4" fontId="8" fillId="2" borderId="9" xfId="7" applyNumberFormat="1" applyFont="1" applyFill="1" applyBorder="1" applyAlignment="1">
      <alignment horizontal="center" vertical="center" shrinkToFit="1"/>
    </xf>
    <xf numFmtId="4" fontId="8" fillId="2" borderId="10" xfId="7" applyNumberFormat="1" applyFont="1" applyFill="1" applyBorder="1" applyAlignment="1">
      <alignment horizontal="center" vertical="center" shrinkToFit="1"/>
    </xf>
    <xf numFmtId="4" fontId="8" fillId="2" borderId="11" xfId="7" applyNumberFormat="1" applyFont="1" applyFill="1" applyBorder="1" applyAlignment="1">
      <alignment horizontal="center" vertical="center" shrinkToFit="1"/>
    </xf>
    <xf numFmtId="4" fontId="8" fillId="2" borderId="12" xfId="7" applyNumberFormat="1" applyFont="1" applyFill="1" applyBorder="1" applyAlignment="1">
      <alignment horizontal="center" vertical="center" shrinkToFit="1"/>
    </xf>
    <xf numFmtId="49" fontId="2" fillId="0" borderId="0" xfId="17" applyNumberFormat="1" applyFont="1" applyAlignment="1">
      <alignment vertical="center"/>
    </xf>
    <xf numFmtId="0" fontId="15" fillId="0" borderId="0" xfId="22" applyFont="1" applyAlignment="1">
      <alignment horizontal="left" vertical="center"/>
    </xf>
    <xf numFmtId="0" fontId="16" fillId="0" borderId="0" xfId="17" applyFont="1" applyAlignment="1">
      <alignment horizontal="center" vertical="center"/>
    </xf>
    <xf numFmtId="0" fontId="17" fillId="0" borderId="0" xfId="22" applyFont="1" applyAlignment="1">
      <alignment vertical="center"/>
    </xf>
    <xf numFmtId="0" fontId="17" fillId="0" borderId="0" xfId="22" applyFont="1" applyAlignment="1">
      <alignment horizontal="right" vertical="center"/>
    </xf>
    <xf numFmtId="0" fontId="17" fillId="0" borderId="13" xfId="7" applyFont="1" applyBorder="1" applyAlignment="1">
      <alignment horizontal="center" vertical="center"/>
    </xf>
    <xf numFmtId="0" fontId="17" fillId="0" borderId="13" xfId="7" applyFont="1" applyBorder="1" applyAlignment="1">
      <alignment horizontal="right" vertical="center"/>
    </xf>
    <xf numFmtId="0" fontId="17" fillId="0" borderId="13" xfId="7" applyFont="1" applyBorder="1" applyAlignment="1">
      <alignment vertical="center"/>
    </xf>
    <xf numFmtId="0" fontId="18" fillId="0" borderId="13" xfId="7" applyFont="1" applyBorder="1" applyAlignment="1">
      <alignment horizontal="right" vertical="center"/>
    </xf>
    <xf numFmtId="0" fontId="17" fillId="0" borderId="0" xfId="7" applyFont="1" applyAlignment="1">
      <alignment vertical="center"/>
    </xf>
    <xf numFmtId="0" fontId="17" fillId="0" borderId="13" xfId="22" applyFont="1" applyBorder="1" applyAlignment="1">
      <alignment horizontal="right" vertical="center"/>
    </xf>
    <xf numFmtId="0" fontId="2" fillId="0" borderId="0" xfId="22" applyFont="1" applyAlignment="1">
      <alignment vertical="center" wrapText="1"/>
    </xf>
    <xf numFmtId="0" fontId="15" fillId="0" borderId="0" xfId="7" applyFont="1" applyAlignment="1">
      <alignment vertical="top"/>
    </xf>
    <xf numFmtId="0" fontId="7" fillId="0" borderId="0" xfId="7" applyFont="1" applyAlignment="1">
      <alignment vertical="top"/>
    </xf>
    <xf numFmtId="0" fontId="15" fillId="0" borderId="0" xfId="17" applyFont="1" applyAlignment="1">
      <alignment horizontal="left" vertical="center"/>
    </xf>
    <xf numFmtId="0" fontId="19" fillId="0" borderId="0" xfId="14" applyFont="1"/>
    <xf numFmtId="0" fontId="17" fillId="0" borderId="0" xfId="7" applyFont="1" applyAlignment="1">
      <alignment horizontal="left" vertical="center"/>
    </xf>
    <xf numFmtId="4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7" fillId="2" borderId="9" xfId="7" applyFont="1" applyFill="1" applyBorder="1" applyAlignment="1">
      <alignment horizontal="center" vertical="center" wrapText="1"/>
    </xf>
    <xf numFmtId="0" fontId="7" fillId="2" borderId="14" xfId="7" applyFont="1" applyFill="1" applyBorder="1" applyAlignment="1">
      <alignment horizontal="center" vertical="center" wrapText="1"/>
    </xf>
    <xf numFmtId="0" fontId="7" fillId="2" borderId="6" xfId="7" applyFont="1" applyFill="1" applyBorder="1" applyAlignment="1">
      <alignment horizontal="center" vertical="center" wrapText="1"/>
    </xf>
    <xf numFmtId="0" fontId="7" fillId="2" borderId="12" xfId="7" applyFont="1" applyFill="1" applyBorder="1" applyAlignment="1">
      <alignment horizontal="center" vertical="center" wrapText="1"/>
    </xf>
    <xf numFmtId="0" fontId="7" fillId="2" borderId="10" xfId="7" applyFont="1" applyFill="1" applyBorder="1" applyAlignment="1">
      <alignment horizontal="center" vertical="center" shrinkToFit="1"/>
    </xf>
    <xf numFmtId="4" fontId="7" fillId="0" borderId="15" xfId="7" applyNumberFormat="1" applyFont="1" applyBorder="1" applyAlignment="1">
      <alignment horizontal="center" vertical="center" shrinkToFit="1"/>
    </xf>
    <xf numFmtId="0" fontId="7" fillId="0" borderId="0" xfId="6" applyFont="1" applyAlignment="1">
      <alignment horizontal="center" vertical="center"/>
    </xf>
    <xf numFmtId="0" fontId="2" fillId="0" borderId="0" xfId="13" applyFont="1" applyAlignment="1">
      <alignment horizontal="left" vertical="center" wrapText="1"/>
    </xf>
    <xf numFmtId="164" fontId="40" fillId="0" borderId="0" xfId="6" applyNumberFormat="1" applyFont="1" applyAlignment="1">
      <alignment horizontal="center" vertical="center"/>
    </xf>
    <xf numFmtId="164" fontId="2" fillId="0" borderId="0" xfId="6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6" applyFont="1" applyAlignment="1">
      <alignment horizontal="right" vertical="center"/>
    </xf>
    <xf numFmtId="4" fontId="5" fillId="0" borderId="0" xfId="6" applyNumberFormat="1" applyFont="1" applyAlignment="1">
      <alignment horizontal="center" vertical="center" shrinkToFit="1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center" vertical="center" wrapText="1"/>
    </xf>
    <xf numFmtId="164" fontId="2" fillId="0" borderId="0" xfId="6" applyNumberFormat="1" applyFont="1" applyAlignment="1">
      <alignment horizontal="center"/>
    </xf>
    <xf numFmtId="0" fontId="9" fillId="2" borderId="12" xfId="22" applyFont="1" applyFill="1" applyBorder="1" applyAlignment="1">
      <alignment horizontal="center" vertical="center" wrapText="1"/>
    </xf>
    <xf numFmtId="0" fontId="8" fillId="2" borderId="8" xfId="22" applyFont="1" applyFill="1" applyBorder="1" applyAlignment="1">
      <alignment horizontal="right" vertical="center"/>
    </xf>
    <xf numFmtId="0" fontId="20" fillId="3" borderId="16" xfId="14" applyFont="1" applyFill="1" applyBorder="1"/>
    <xf numFmtId="0" fontId="8" fillId="0" borderId="17" xfId="22" applyFont="1" applyBorder="1" applyAlignment="1">
      <alignment horizontal="right" vertical="center"/>
    </xf>
    <xf numFmtId="4" fontId="8" fillId="0" borderId="18" xfId="22" applyNumberFormat="1" applyFont="1" applyBorder="1" applyAlignment="1">
      <alignment horizontal="center" vertical="center" shrinkToFit="1"/>
    </xf>
    <xf numFmtId="4" fontId="7" fillId="0" borderId="0" xfId="10" applyNumberFormat="1" applyFont="1" applyAlignment="1">
      <alignment horizontal="center" vertical="center" shrinkToFit="1"/>
    </xf>
    <xf numFmtId="0" fontId="20" fillId="3" borderId="1" xfId="14" applyFont="1" applyFill="1" applyBorder="1"/>
    <xf numFmtId="0" fontId="21" fillId="0" borderId="19" xfId="6" applyFont="1" applyBorder="1" applyAlignment="1">
      <alignment horizontal="right" vertical="center"/>
    </xf>
    <xf numFmtId="4" fontId="7" fillId="0" borderId="5" xfId="22" applyNumberFormat="1" applyFont="1" applyBorder="1" applyAlignment="1">
      <alignment horizontal="center" vertical="center" shrinkToFit="1"/>
    </xf>
    <xf numFmtId="4" fontId="20" fillId="0" borderId="0" xfId="10" applyNumberFormat="1" applyFont="1" applyAlignment="1">
      <alignment horizontal="center" vertical="center" shrinkToFit="1"/>
    </xf>
    <xf numFmtId="0" fontId="20" fillId="3" borderId="20" xfId="14" applyFont="1" applyFill="1" applyBorder="1"/>
    <xf numFmtId="0" fontId="8" fillId="0" borderId="21" xfId="22" applyFont="1" applyBorder="1" applyAlignment="1">
      <alignment horizontal="right" vertical="center"/>
    </xf>
    <xf numFmtId="4" fontId="8" fillId="0" borderId="22" xfId="22" applyNumberFormat="1" applyFont="1" applyBorder="1" applyAlignment="1">
      <alignment horizontal="center" vertical="center" shrinkToFit="1"/>
    </xf>
    <xf numFmtId="0" fontId="20" fillId="2" borderId="6" xfId="14" applyFont="1" applyFill="1" applyBorder="1"/>
    <xf numFmtId="4" fontId="8" fillId="2" borderId="12" xfId="10" applyNumberFormat="1" applyFont="1" applyFill="1" applyBorder="1" applyAlignment="1">
      <alignment horizontal="center" vertical="center" shrinkToFit="1"/>
    </xf>
    <xf numFmtId="4" fontId="8" fillId="0" borderId="0" xfId="10" applyNumberFormat="1" applyFont="1" applyAlignment="1">
      <alignment horizontal="center" vertical="center" shrinkToFit="1"/>
    </xf>
    <xf numFmtId="0" fontId="8" fillId="2" borderId="6" xfId="6" applyFont="1" applyFill="1" applyBorder="1" applyAlignment="1">
      <alignment vertical="center" wrapText="1"/>
    </xf>
    <xf numFmtId="0" fontId="41" fillId="0" borderId="0" xfId="0" applyFont="1" applyAlignment="1">
      <alignment horizontal="center" vertical="center"/>
    </xf>
    <xf numFmtId="4" fontId="41" fillId="0" borderId="0" xfId="0" applyNumberFormat="1" applyFont="1" applyAlignment="1">
      <alignment horizontal="center" vertical="center"/>
    </xf>
    <xf numFmtId="0" fontId="8" fillId="2" borderId="7" xfId="6" applyFont="1" applyFill="1" applyBorder="1" applyAlignment="1">
      <alignment vertical="center" wrapText="1"/>
    </xf>
    <xf numFmtId="0" fontId="20" fillId="3" borderId="23" xfId="14" applyFont="1" applyFill="1" applyBorder="1"/>
    <xf numFmtId="0" fontId="20" fillId="3" borderId="24" xfId="14" applyFont="1" applyFill="1" applyBorder="1"/>
    <xf numFmtId="0" fontId="20" fillId="3" borderId="25" xfId="14" applyFont="1" applyFill="1" applyBorder="1"/>
    <xf numFmtId="0" fontId="20" fillId="2" borderId="7" xfId="14" applyFont="1" applyFill="1" applyBorder="1"/>
    <xf numFmtId="4" fontId="8" fillId="2" borderId="12" xfId="22" applyNumberFormat="1" applyFont="1" applyFill="1" applyBorder="1" applyAlignment="1">
      <alignment horizontal="center" vertical="center" shrinkToFit="1"/>
    </xf>
    <xf numFmtId="0" fontId="42" fillId="0" borderId="25" xfId="0" applyFont="1" applyBorder="1" applyAlignment="1">
      <alignment horizontal="center" vertical="top"/>
    </xf>
    <xf numFmtId="0" fontId="42" fillId="0" borderId="0" xfId="0" applyFont="1" applyAlignment="1">
      <alignment horizontal="center" vertical="top"/>
    </xf>
    <xf numFmtId="0" fontId="22" fillId="0" borderId="0" xfId="22" applyFont="1" applyAlignment="1">
      <alignment horizontal="right" vertical="center"/>
    </xf>
    <xf numFmtId="4" fontId="9" fillId="0" borderId="0" xfId="10" applyNumberFormat="1" applyFont="1" applyAlignment="1">
      <alignment horizontal="center" vertical="center" shrinkToFit="1"/>
    </xf>
    <xf numFmtId="0" fontId="43" fillId="0" borderId="0" xfId="0" applyFont="1" applyAlignment="1">
      <alignment horizontal="center" vertical="center"/>
    </xf>
    <xf numFmtId="4" fontId="43" fillId="0" borderId="0" xfId="0" applyNumberFormat="1" applyFont="1" applyAlignment="1">
      <alignment horizontal="center" vertical="center"/>
    </xf>
    <xf numFmtId="0" fontId="22" fillId="0" borderId="0" xfId="22" applyFont="1" applyAlignment="1">
      <alignment horizontal="left" vertical="center"/>
    </xf>
    <xf numFmtId="4" fontId="44" fillId="0" borderId="0" xfId="0" applyNumberFormat="1" applyFont="1" applyAlignment="1">
      <alignment horizontal="center" vertical="center"/>
    </xf>
    <xf numFmtId="4" fontId="45" fillId="0" borderId="0" xfId="0" applyNumberFormat="1" applyFont="1" applyAlignment="1">
      <alignment horizontal="center" vertical="center"/>
    </xf>
    <xf numFmtId="0" fontId="7" fillId="0" borderId="0" xfId="9" applyFont="1" applyAlignment="1">
      <alignment vertical="center"/>
    </xf>
    <xf numFmtId="0" fontId="7" fillId="0" borderId="0" xfId="7" applyFont="1" applyAlignment="1">
      <alignment horizontal="left" vertical="center"/>
    </xf>
    <xf numFmtId="0" fontId="7" fillId="0" borderId="0" xfId="9" applyFont="1" applyAlignment="1">
      <alignment horizontal="center" vertical="center"/>
    </xf>
    <xf numFmtId="0" fontId="2" fillId="0" borderId="0" xfId="6" applyFont="1" applyAlignment="1">
      <alignment vertical="center"/>
    </xf>
    <xf numFmtId="0" fontId="15" fillId="0" borderId="0" xfId="22" applyFont="1" applyAlignment="1">
      <alignment vertical="center"/>
    </xf>
    <xf numFmtId="4" fontId="46" fillId="0" borderId="0" xfId="0" applyNumberFormat="1" applyFont="1" applyAlignment="1">
      <alignment horizontal="center" vertical="center"/>
    </xf>
    <xf numFmtId="0" fontId="23" fillId="0" borderId="13" xfId="0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" fontId="47" fillId="0" borderId="0" xfId="0" applyNumberFormat="1" applyFont="1" applyAlignment="1">
      <alignment horizontal="center" vertical="center"/>
    </xf>
    <xf numFmtId="10" fontId="46" fillId="0" borderId="0" xfId="0" applyNumberFormat="1" applyFont="1" applyAlignment="1">
      <alignment horizontal="center" vertical="center"/>
    </xf>
    <xf numFmtId="4" fontId="7" fillId="0" borderId="26" xfId="7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 applyProtection="1">
      <alignment horizontal="center" vertical="center"/>
      <protection locked="0"/>
    </xf>
    <xf numFmtId="4" fontId="7" fillId="0" borderId="15" xfId="0" applyNumberFormat="1" applyFont="1" applyBorder="1" applyAlignment="1">
      <alignment horizontal="center" vertical="center" shrinkToFit="1"/>
    </xf>
    <xf numFmtId="4" fontId="7" fillId="0" borderId="28" xfId="0" applyNumberFormat="1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left" vertical="center" wrapText="1"/>
    </xf>
    <xf numFmtId="0" fontId="8" fillId="2" borderId="30" xfId="7" applyFont="1" applyFill="1" applyBorder="1" applyAlignment="1">
      <alignment vertical="center"/>
    </xf>
    <xf numFmtId="0" fontId="8" fillId="2" borderId="31" xfId="7" applyFont="1" applyFill="1" applyBorder="1" applyAlignment="1">
      <alignment vertical="center"/>
    </xf>
    <xf numFmtId="0" fontId="15" fillId="0" borderId="2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7" fillId="0" borderId="3" xfId="0" applyNumberFormat="1" applyFont="1" applyBorder="1" applyAlignment="1" applyProtection="1">
      <alignment horizontal="center" vertical="center" wrapText="1"/>
      <protection locked="0"/>
    </xf>
    <xf numFmtId="2" fontId="7" fillId="0" borderId="3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4" fontId="48" fillId="0" borderId="0" xfId="0" applyNumberFormat="1" applyFont="1" applyAlignment="1">
      <alignment horizontal="center" vertical="center"/>
    </xf>
    <xf numFmtId="10" fontId="41" fillId="0" borderId="0" xfId="0" applyNumberFormat="1" applyFont="1" applyAlignment="1">
      <alignment horizontal="center" vertical="center"/>
    </xf>
    <xf numFmtId="49" fontId="7" fillId="0" borderId="33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4" fontId="7" fillId="0" borderId="34" xfId="0" applyNumberFormat="1" applyFont="1" applyBorder="1" applyAlignment="1">
      <alignment horizontal="center" vertical="center" shrinkToFit="1"/>
    </xf>
    <xf numFmtId="0" fontId="7" fillId="0" borderId="6" xfId="9" applyFont="1" applyBorder="1" applyAlignment="1">
      <alignment vertical="center" wrapText="1"/>
    </xf>
    <xf numFmtId="0" fontId="7" fillId="0" borderId="7" xfId="9" applyFont="1" applyBorder="1" applyAlignment="1">
      <alignment horizontal="right" vertical="center"/>
    </xf>
    <xf numFmtId="166" fontId="7" fillId="0" borderId="11" xfId="9" applyNumberFormat="1" applyFont="1" applyBorder="1" applyAlignment="1">
      <alignment horizontal="center" vertical="center"/>
    </xf>
    <xf numFmtId="0" fontId="49" fillId="0" borderId="0" xfId="0" applyFont="1"/>
    <xf numFmtId="0" fontId="8" fillId="2" borderId="6" xfId="9" applyFont="1" applyFill="1" applyBorder="1" applyAlignment="1">
      <alignment vertical="center" wrapText="1"/>
    </xf>
    <xf numFmtId="0" fontId="8" fillId="2" borderId="7" xfId="9" applyFont="1" applyFill="1" applyBorder="1" applyAlignment="1">
      <alignment horizontal="right" vertical="center"/>
    </xf>
    <xf numFmtId="166" fontId="8" fillId="2" borderId="11" xfId="9" applyNumberFormat="1" applyFont="1" applyFill="1" applyBorder="1" applyAlignment="1">
      <alignment horizontal="center" vertical="center"/>
    </xf>
    <xf numFmtId="0" fontId="8" fillId="2" borderId="9" xfId="16" applyNumberFormat="1" applyFont="1" applyFill="1" applyBorder="1" applyAlignment="1" applyProtection="1">
      <alignment horizontal="center" vertical="center" wrapText="1"/>
    </xf>
    <xf numFmtId="0" fontId="8" fillId="2" borderId="14" xfId="9" applyFont="1" applyFill="1" applyBorder="1" applyAlignment="1">
      <alignment horizontal="center" vertical="center"/>
    </xf>
    <xf numFmtId="0" fontId="8" fillId="2" borderId="11" xfId="16" applyNumberFormat="1" applyFont="1" applyFill="1" applyBorder="1" applyAlignment="1" applyProtection="1">
      <alignment horizontal="center" vertical="center" wrapText="1"/>
    </xf>
    <xf numFmtId="4" fontId="48" fillId="0" borderId="0" xfId="0" applyNumberFormat="1" applyFont="1" applyAlignment="1">
      <alignment horizontal="center" vertical="center" wrapText="1"/>
    </xf>
    <xf numFmtId="0" fontId="8" fillId="0" borderId="35" xfId="9" applyFont="1" applyBorder="1" applyAlignment="1">
      <alignment horizontal="center" vertical="center" wrapText="1"/>
    </xf>
    <xf numFmtId="0" fontId="8" fillId="0" borderId="36" xfId="7" applyFont="1" applyBorder="1" applyAlignment="1">
      <alignment horizontal="left" vertical="center" wrapText="1" indent="1"/>
    </xf>
    <xf numFmtId="166" fontId="7" fillId="0" borderId="37" xfId="9" applyNumberFormat="1" applyFont="1" applyBorder="1" applyAlignment="1">
      <alignment horizontal="center" vertical="center"/>
    </xf>
    <xf numFmtId="0" fontId="7" fillId="0" borderId="0" xfId="6" applyFont="1" applyAlignment="1">
      <alignment vertical="center"/>
    </xf>
    <xf numFmtId="0" fontId="8" fillId="0" borderId="0" xfId="7" applyFont="1" applyAlignment="1">
      <alignment horizontal="left" vertical="center"/>
    </xf>
    <xf numFmtId="0" fontId="42" fillId="0" borderId="0" xfId="6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7" fillId="0" borderId="0" xfId="13" applyFont="1" applyAlignment="1">
      <alignment horizontal="left" vertical="center" wrapText="1"/>
    </xf>
    <xf numFmtId="164" fontId="50" fillId="0" borderId="0" xfId="6" applyNumberFormat="1" applyFont="1" applyAlignment="1">
      <alignment horizontal="center" vertical="center"/>
    </xf>
    <xf numFmtId="164" fontId="7" fillId="0" borderId="0" xfId="6" applyNumberFormat="1" applyFont="1" applyAlignment="1">
      <alignment horizontal="center" vertical="center"/>
    </xf>
    <xf numFmtId="0" fontId="9" fillId="0" borderId="0" xfId="6" applyFont="1" applyAlignment="1">
      <alignment horizontal="right" vertical="center"/>
    </xf>
    <xf numFmtId="4" fontId="9" fillId="0" borderId="0" xfId="6" applyNumberFormat="1" applyFont="1" applyAlignment="1">
      <alignment horizontal="center" vertical="center" shrinkToFit="1"/>
    </xf>
    <xf numFmtId="0" fontId="25" fillId="0" borderId="0" xfId="6" applyFont="1" applyAlignment="1">
      <alignment horizontal="right" vertical="center"/>
    </xf>
    <xf numFmtId="0" fontId="7" fillId="0" borderId="0" xfId="7" applyFont="1" applyAlignment="1">
      <alignment horizontal="right" vertical="center"/>
    </xf>
    <xf numFmtId="0" fontId="7" fillId="0" borderId="0" xfId="7" applyFont="1" applyAlignment="1">
      <alignment horizontal="center" vertical="center" wrapText="1"/>
    </xf>
    <xf numFmtId="0" fontId="7" fillId="0" borderId="0" xfId="7" applyFont="1" applyAlignment="1">
      <alignment vertical="center"/>
    </xf>
    <xf numFmtId="0" fontId="7" fillId="0" borderId="0" xfId="6" applyFont="1" applyAlignment="1">
      <alignment horizontal="right" vertical="center"/>
    </xf>
    <xf numFmtId="0" fontId="41" fillId="0" borderId="0" xfId="0" applyFont="1"/>
    <xf numFmtId="0" fontId="8" fillId="4" borderId="6" xfId="6" applyFont="1" applyFill="1" applyBorder="1" applyAlignment="1">
      <alignment horizontal="left" vertical="center" indent="1"/>
    </xf>
    <xf numFmtId="0" fontId="8" fillId="4" borderId="7" xfId="6" applyFont="1" applyFill="1" applyBorder="1" applyAlignment="1">
      <alignment horizontal="left" vertical="center" indent="1"/>
    </xf>
    <xf numFmtId="0" fontId="7" fillId="4" borderId="7" xfId="14" applyFont="1" applyFill="1" applyBorder="1" applyAlignment="1">
      <alignment horizontal="left" vertical="center" wrapText="1" indent="1"/>
    </xf>
    <xf numFmtId="4" fontId="7" fillId="4" borderId="7" xfId="14" applyNumberFormat="1" applyFont="1" applyFill="1" applyBorder="1" applyAlignment="1">
      <alignment horizontal="center" vertical="center" shrinkToFit="1"/>
    </xf>
    <xf numFmtId="4" fontId="7" fillId="4" borderId="8" xfId="14" applyNumberFormat="1" applyFont="1" applyFill="1" applyBorder="1" applyAlignment="1">
      <alignment horizontal="center" vertical="center" shrinkToFit="1"/>
    </xf>
    <xf numFmtId="4" fontId="50" fillId="0" borderId="0" xfId="0" applyNumberFormat="1" applyFont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" fontId="28" fillId="0" borderId="33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center" vertical="center" wrapText="1"/>
    </xf>
    <xf numFmtId="4" fontId="24" fillId="0" borderId="15" xfId="0" applyNumberFormat="1" applyFont="1" applyBorder="1" applyAlignment="1">
      <alignment horizontal="center" vertical="center" wrapText="1"/>
    </xf>
    <xf numFmtId="0" fontId="7" fillId="0" borderId="3" xfId="22" applyFont="1" applyBorder="1" applyAlignment="1">
      <alignment horizontal="center" vertical="center"/>
    </xf>
    <xf numFmtId="4" fontId="24" fillId="0" borderId="15" xfId="0" applyNumberFormat="1" applyFont="1" applyBorder="1" applyAlignment="1">
      <alignment horizontal="center" vertical="center" shrinkToFit="1"/>
    </xf>
    <xf numFmtId="0" fontId="43" fillId="0" borderId="0" xfId="0" applyFont="1"/>
    <xf numFmtId="0" fontId="24" fillId="0" borderId="3" xfId="0" applyFont="1" applyBorder="1" applyAlignment="1">
      <alignment horizontal="right" vertical="center" wrapText="1"/>
    </xf>
    <xf numFmtId="49" fontId="7" fillId="0" borderId="3" xfId="22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 wrapText="1"/>
    </xf>
    <xf numFmtId="0" fontId="33" fillId="0" borderId="3" xfId="0" applyFont="1" applyBorder="1" applyAlignment="1">
      <alignment horizontal="center" vertical="center" wrapText="1"/>
    </xf>
    <xf numFmtId="4" fontId="33" fillId="0" borderId="15" xfId="0" applyNumberFormat="1" applyFont="1" applyBorder="1" applyAlignment="1">
      <alignment horizontal="center" vertical="center" wrapText="1"/>
    </xf>
    <xf numFmtId="3" fontId="8" fillId="4" borderId="7" xfId="6" applyNumberFormat="1" applyFont="1" applyFill="1" applyBorder="1" applyAlignment="1">
      <alignment horizontal="left" vertical="center" indent="1"/>
    </xf>
    <xf numFmtId="2" fontId="23" fillId="0" borderId="15" xfId="0" applyNumberFormat="1" applyFont="1" applyBorder="1" applyAlignment="1">
      <alignment horizontal="center" vertical="center" shrinkToFit="1"/>
    </xf>
    <xf numFmtId="4" fontId="44" fillId="0" borderId="0" xfId="0" applyNumberFormat="1" applyFont="1" applyAlignment="1">
      <alignment horizontal="left" vertical="center"/>
    </xf>
    <xf numFmtId="4" fontId="44" fillId="0" borderId="0" xfId="0" quotePrefix="1" applyNumberFormat="1" applyFont="1" applyAlignment="1">
      <alignment horizontal="center" vertical="center"/>
    </xf>
    <xf numFmtId="168" fontId="14" fillId="0" borderId="0" xfId="7" applyNumberFormat="1" applyFont="1" applyAlignment="1">
      <alignment vertical="center"/>
    </xf>
    <xf numFmtId="4" fontId="51" fillId="0" borderId="0" xfId="0" applyNumberFormat="1" applyFont="1" applyAlignment="1">
      <alignment horizontal="center" vertical="center"/>
    </xf>
    <xf numFmtId="4" fontId="52" fillId="0" borderId="0" xfId="0" applyNumberFormat="1" applyFont="1" applyAlignment="1">
      <alignment horizontal="center" vertical="center"/>
    </xf>
    <xf numFmtId="171" fontId="44" fillId="0" borderId="0" xfId="21" applyNumberFormat="1" applyFont="1" applyFill="1" applyBorder="1" applyAlignment="1">
      <alignment horizontal="center" vertical="center" shrinkToFit="1"/>
    </xf>
    <xf numFmtId="49" fontId="7" fillId="0" borderId="52" xfId="0" applyNumberFormat="1" applyFont="1" applyBorder="1" applyAlignment="1">
      <alignment horizontal="center" vertical="center"/>
    </xf>
    <xf numFmtId="4" fontId="28" fillId="0" borderId="52" xfId="0" applyNumberFormat="1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4" fontId="7" fillId="0" borderId="37" xfId="0" applyNumberFormat="1" applyFont="1" applyBorder="1" applyAlignment="1">
      <alignment horizontal="center" vertical="center" shrinkToFit="1"/>
    </xf>
    <xf numFmtId="4" fontId="50" fillId="0" borderId="15" xfId="0" applyNumberFormat="1" applyFont="1" applyBorder="1" applyAlignment="1">
      <alignment horizontal="center" vertical="center" shrinkToFit="1"/>
    </xf>
    <xf numFmtId="0" fontId="34" fillId="0" borderId="3" xfId="0" applyFont="1" applyBorder="1" applyAlignment="1">
      <alignment horizontal="center" vertical="center" wrapText="1"/>
    </xf>
    <xf numFmtId="4" fontId="23" fillId="0" borderId="1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4" fontId="24" fillId="0" borderId="0" xfId="0" applyNumberFormat="1" applyFont="1" applyAlignment="1">
      <alignment horizontal="center" vertical="center"/>
    </xf>
    <xf numFmtId="49" fontId="24" fillId="0" borderId="3" xfId="7" applyNumberFormat="1" applyFont="1" applyBorder="1" applyAlignment="1">
      <alignment horizontal="right" vertical="center" wrapText="1"/>
    </xf>
    <xf numFmtId="0" fontId="24" fillId="0" borderId="3" xfId="9" applyFont="1" applyBorder="1" applyAlignment="1">
      <alignment horizontal="center" vertical="center" wrapText="1"/>
    </xf>
    <xf numFmtId="4" fontId="24" fillId="0" borderId="4" xfId="9" applyNumberFormat="1" applyFont="1" applyBorder="1" applyAlignment="1">
      <alignment horizontal="center" vertical="center" shrinkToFit="1"/>
    </xf>
    <xf numFmtId="4" fontId="24" fillId="0" borderId="4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4" fontId="7" fillId="0" borderId="34" xfId="0" applyNumberFormat="1" applyFont="1" applyBorder="1" applyAlignment="1">
      <alignment horizontal="center" vertical="center" wrapText="1"/>
    </xf>
    <xf numFmtId="4" fontId="51" fillId="0" borderId="0" xfId="0" applyNumberFormat="1" applyFont="1" applyAlignment="1">
      <alignment horizontal="center" vertical="center" shrinkToFit="1"/>
    </xf>
    <xf numFmtId="4" fontId="41" fillId="0" borderId="0" xfId="0" applyNumberFormat="1" applyFont="1" applyAlignment="1">
      <alignment horizontal="center" vertical="center" shrinkToFit="1"/>
    </xf>
    <xf numFmtId="0" fontId="27" fillId="0" borderId="3" xfId="0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 shrinkToFit="1"/>
    </xf>
    <xf numFmtId="4" fontId="24" fillId="0" borderId="0" xfId="0" applyNumberFormat="1" applyFont="1" applyAlignment="1">
      <alignment horizontal="center" vertical="center" shrinkToFit="1"/>
    </xf>
    <xf numFmtId="4" fontId="35" fillId="0" borderId="0" xfId="0" applyNumberFormat="1" applyFont="1" applyAlignment="1">
      <alignment horizontal="center" vertical="center"/>
    </xf>
    <xf numFmtId="0" fontId="35" fillId="0" borderId="0" xfId="0" applyFont="1"/>
    <xf numFmtId="4" fontId="24" fillId="0" borderId="2" xfId="7" applyNumberFormat="1" applyFont="1" applyBorder="1" applyAlignment="1">
      <alignment horizontal="center" vertical="center" shrinkToFit="1"/>
    </xf>
    <xf numFmtId="4" fontId="24" fillId="0" borderId="3" xfId="7" applyNumberFormat="1" applyFont="1" applyBorder="1" applyAlignment="1">
      <alignment horizontal="center" vertical="center" shrinkToFit="1"/>
    </xf>
    <xf numFmtId="4" fontId="14" fillId="0" borderId="0" xfId="0" applyNumberFormat="1" applyFont="1" applyAlignment="1">
      <alignment horizontal="center" vertical="center"/>
    </xf>
    <xf numFmtId="0" fontId="14" fillId="0" borderId="0" xfId="0" applyFont="1"/>
    <xf numFmtId="49" fontId="33" fillId="0" borderId="2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shrinkToFit="1"/>
    </xf>
    <xf numFmtId="4" fontId="23" fillId="0" borderId="0" xfId="0" applyNumberFormat="1" applyFont="1" applyAlignment="1">
      <alignment horizontal="center" vertical="center"/>
    </xf>
    <xf numFmtId="0" fontId="23" fillId="0" borderId="0" xfId="0" applyFont="1"/>
    <xf numFmtId="2" fontId="9" fillId="0" borderId="3" xfId="0" applyNumberFormat="1" applyFont="1" applyBorder="1" applyAlignment="1">
      <alignment vertical="center" wrapText="1"/>
    </xf>
    <xf numFmtId="2" fontId="24" fillId="0" borderId="3" xfId="0" applyNumberFormat="1" applyFont="1" applyBorder="1" applyAlignment="1">
      <alignment horizontal="center" vertical="center" wrapText="1"/>
    </xf>
    <xf numFmtId="4" fontId="24" fillId="0" borderId="3" xfId="0" applyNumberFormat="1" applyFont="1" applyBorder="1" applyAlignment="1">
      <alignment horizontal="center" vertical="center" shrinkToFit="1"/>
    </xf>
    <xf numFmtId="4" fontId="23" fillId="0" borderId="15" xfId="0" applyNumberFormat="1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" fontId="24" fillId="0" borderId="15" xfId="7" applyNumberFormat="1" applyFont="1" applyBorder="1" applyAlignment="1">
      <alignment horizontal="center" vertical="center" shrinkToFit="1"/>
    </xf>
    <xf numFmtId="0" fontId="9" fillId="0" borderId="3" xfId="9" applyFont="1" applyBorder="1" applyAlignment="1">
      <alignment horizontal="left" vertical="center" wrapText="1"/>
    </xf>
    <xf numFmtId="0" fontId="24" fillId="0" borderId="3" xfId="9" applyFont="1" applyBorder="1" applyAlignment="1">
      <alignment horizontal="right" vertical="center" wrapText="1"/>
    </xf>
    <xf numFmtId="49" fontId="24" fillId="0" borderId="52" xfId="0" applyNumberFormat="1" applyFont="1" applyBorder="1" applyAlignment="1">
      <alignment horizontal="center" vertical="center"/>
    </xf>
    <xf numFmtId="4" fontId="34" fillId="0" borderId="52" xfId="0" applyNumberFormat="1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4" fontId="24" fillId="0" borderId="37" xfId="0" applyNumberFormat="1" applyFont="1" applyBorder="1" applyAlignment="1">
      <alignment horizontal="center" vertical="center" shrinkToFit="1"/>
    </xf>
    <xf numFmtId="4" fontId="24" fillId="0" borderId="56" xfId="7" applyNumberFormat="1" applyFont="1" applyBorder="1" applyAlignment="1">
      <alignment horizontal="center" vertical="center" shrinkToFit="1"/>
    </xf>
    <xf numFmtId="4" fontId="24" fillId="0" borderId="37" xfId="7" applyNumberFormat="1" applyFont="1" applyBorder="1" applyAlignment="1">
      <alignment horizontal="center" vertical="center" shrinkToFit="1"/>
    </xf>
    <xf numFmtId="4" fontId="24" fillId="0" borderId="35" xfId="7" applyNumberFormat="1" applyFont="1" applyBorder="1" applyAlignment="1">
      <alignment horizontal="center" vertical="center" shrinkToFit="1"/>
    </xf>
    <xf numFmtId="4" fontId="24" fillId="0" borderId="52" xfId="7" applyNumberFormat="1" applyFont="1" applyBorder="1" applyAlignment="1">
      <alignment horizontal="center" vertical="center" shrinkToFit="1"/>
    </xf>
    <xf numFmtId="4" fontId="24" fillId="0" borderId="16" xfId="7" applyNumberFormat="1" applyFont="1" applyBorder="1" applyAlignment="1">
      <alignment horizontal="center" vertical="center" shrinkToFit="1"/>
    </xf>
    <xf numFmtId="4" fontId="24" fillId="0" borderId="36" xfId="7" applyNumberFormat="1" applyFont="1" applyBorder="1" applyAlignment="1">
      <alignment horizontal="center" vertical="center" shrinkToFit="1"/>
    </xf>
    <xf numFmtId="4" fontId="24" fillId="0" borderId="18" xfId="7" applyNumberFormat="1" applyFont="1" applyBorder="1" applyAlignment="1">
      <alignment horizontal="center" vertical="center" shrinkToFit="1"/>
    </xf>
    <xf numFmtId="0" fontId="24" fillId="0" borderId="3" xfId="22" applyFont="1" applyBorder="1" applyAlignment="1">
      <alignment horizontal="center" vertical="center"/>
    </xf>
    <xf numFmtId="4" fontId="24" fillId="0" borderId="1" xfId="7" applyNumberFormat="1" applyFont="1" applyBorder="1" applyAlignment="1">
      <alignment horizontal="center" vertical="center" shrinkToFit="1"/>
    </xf>
    <xf numFmtId="4" fontId="24" fillId="0" borderId="4" xfId="7" applyNumberFormat="1" applyFont="1" applyBorder="1" applyAlignment="1">
      <alignment horizontal="center" vertical="center" shrinkToFit="1"/>
    </xf>
    <xf numFmtId="4" fontId="24" fillId="0" borderId="5" xfId="7" applyNumberFormat="1" applyFont="1" applyBorder="1" applyAlignment="1">
      <alignment horizontal="center" vertical="center" shrinkToFit="1"/>
    </xf>
    <xf numFmtId="0" fontId="24" fillId="0" borderId="0" xfId="0" applyFont="1"/>
    <xf numFmtId="49" fontId="24" fillId="0" borderId="3" xfId="22" applyNumberFormat="1" applyFont="1" applyBorder="1" applyAlignment="1">
      <alignment horizontal="center" vertical="center"/>
    </xf>
    <xf numFmtId="49" fontId="20" fillId="0" borderId="3" xfId="0" applyNumberFormat="1" applyFont="1" applyBorder="1" applyAlignment="1">
      <alignment horizontal="center" vertical="center"/>
    </xf>
    <xf numFmtId="4" fontId="24" fillId="0" borderId="3" xfId="0" applyNumberFormat="1" applyFont="1" applyBorder="1" applyAlignment="1">
      <alignment horizontal="center" vertical="center" wrapText="1"/>
    </xf>
    <xf numFmtId="0" fontId="24" fillId="0" borderId="3" xfId="6" applyFont="1" applyBorder="1" applyAlignment="1">
      <alignment horizontal="center" vertical="center" wrapText="1"/>
    </xf>
    <xf numFmtId="4" fontId="24" fillId="0" borderId="15" xfId="6" applyNumberFormat="1" applyFont="1" applyBorder="1" applyAlignment="1">
      <alignment horizontal="center" vertical="center" wrapText="1"/>
    </xf>
    <xf numFmtId="2" fontId="24" fillId="0" borderId="15" xfId="0" applyNumberFormat="1" applyFont="1" applyBorder="1" applyAlignment="1">
      <alignment horizontal="center" vertical="center" shrinkToFit="1"/>
    </xf>
    <xf numFmtId="4" fontId="24" fillId="0" borderId="3" xfId="6" applyNumberFormat="1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 wrapText="1"/>
    </xf>
    <xf numFmtId="0" fontId="42" fillId="0" borderId="3" xfId="0" applyFont="1" applyBorder="1" applyAlignment="1" applyProtection="1">
      <alignment horizontal="center" vertical="center" wrapText="1"/>
      <protection locked="0"/>
    </xf>
    <xf numFmtId="4" fontId="41" fillId="0" borderId="15" xfId="0" applyNumberFormat="1" applyFont="1" applyBorder="1" applyAlignment="1">
      <alignment horizontal="center" vertical="center" shrinkToFit="1"/>
    </xf>
    <xf numFmtId="168" fontId="24" fillId="0" borderId="15" xfId="0" applyNumberFormat="1" applyFont="1" applyBorder="1" applyAlignment="1">
      <alignment horizontal="center" vertical="center" wrapText="1"/>
    </xf>
    <xf numFmtId="4" fontId="33" fillId="0" borderId="15" xfId="0" applyNumberFormat="1" applyFont="1" applyBorder="1" applyAlignment="1">
      <alignment horizontal="center" vertical="center" shrinkToFit="1"/>
    </xf>
    <xf numFmtId="4" fontId="24" fillId="0" borderId="15" xfId="9" applyNumberFormat="1" applyFont="1" applyBorder="1" applyAlignment="1">
      <alignment horizontal="center" vertical="center" wrapText="1"/>
    </xf>
    <xf numFmtId="49" fontId="24" fillId="0" borderId="3" xfId="0" applyNumberFormat="1" applyFont="1" applyBorder="1" applyAlignment="1">
      <alignment horizontal="center" vertical="center"/>
    </xf>
    <xf numFmtId="0" fontId="9" fillId="0" borderId="3" xfId="0" quotePrefix="1" applyFont="1" applyBorder="1" applyAlignment="1">
      <alignment vertical="center" wrapText="1"/>
    </xf>
    <xf numFmtId="168" fontId="24" fillId="0" borderId="15" xfId="0" applyNumberFormat="1" applyFont="1" applyBorder="1" applyAlignment="1">
      <alignment horizontal="center" vertical="center" shrinkToFit="1"/>
    </xf>
    <xf numFmtId="4" fontId="24" fillId="0" borderId="4" xfId="0" applyNumberFormat="1" applyFont="1" applyBorder="1" applyAlignment="1">
      <alignment horizontal="center" vertical="center" shrinkToFit="1"/>
    </xf>
    <xf numFmtId="4" fontId="7" fillId="0" borderId="15" xfId="0" applyNumberFormat="1" applyFont="1" applyBorder="1" applyAlignment="1">
      <alignment horizontal="center" vertical="center" wrapText="1"/>
    </xf>
    <xf numFmtId="2" fontId="33" fillId="0" borderId="15" xfId="0" applyNumberFormat="1" applyFont="1" applyBorder="1" applyAlignment="1">
      <alignment horizontal="center" vertical="center" shrinkToFit="1"/>
    </xf>
    <xf numFmtId="0" fontId="8" fillId="0" borderId="3" xfId="20" applyFont="1" applyBorder="1" applyAlignment="1">
      <alignment vertical="center" wrapText="1"/>
    </xf>
    <xf numFmtId="0" fontId="7" fillId="0" borderId="3" xfId="2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shrinkToFit="1"/>
    </xf>
    <xf numFmtId="0" fontId="7" fillId="0" borderId="3" xfId="20" applyFont="1" applyBorder="1" applyAlignment="1">
      <alignment horizontal="right" vertical="center" wrapText="1"/>
    </xf>
    <xf numFmtId="4" fontId="7" fillId="0" borderId="4" xfId="20" applyNumberFormat="1" applyFont="1" applyBorder="1" applyAlignment="1">
      <alignment horizontal="center" vertical="center" shrinkToFit="1"/>
    </xf>
    <xf numFmtId="49" fontId="8" fillId="0" borderId="33" xfId="18" applyNumberFormat="1" applyFont="1" applyBorder="1" applyAlignment="1">
      <alignment horizontal="center" vertical="center" textRotation="90" wrapText="1"/>
    </xf>
    <xf numFmtId="0" fontId="8" fillId="0" borderId="33" xfId="18" applyFont="1" applyBorder="1" applyAlignment="1">
      <alignment horizontal="center" vertical="center" textRotation="90" wrapText="1"/>
    </xf>
    <xf numFmtId="4" fontId="7" fillId="0" borderId="34" xfId="18" applyNumberFormat="1" applyFont="1" applyBorder="1" applyAlignment="1">
      <alignment vertical="center" textRotation="90" shrinkToFit="1"/>
    </xf>
    <xf numFmtId="1" fontId="8" fillId="0" borderId="2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4" fontId="24" fillId="0" borderId="4" xfId="9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4" fontId="7" fillId="0" borderId="15" xfId="4" applyNumberFormat="1" applyFont="1" applyBorder="1" applyAlignment="1">
      <alignment horizontal="center" vertical="center" shrinkToFit="1"/>
    </xf>
    <xf numFmtId="0" fontId="7" fillId="0" borderId="58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left" vertical="center" wrapText="1"/>
    </xf>
    <xf numFmtId="4" fontId="7" fillId="0" borderId="59" xfId="0" applyNumberFormat="1" applyFont="1" applyBorder="1" applyAlignment="1">
      <alignment horizontal="center" vertical="center" shrinkToFit="1"/>
    </xf>
    <xf numFmtId="4" fontId="7" fillId="0" borderId="60" xfId="7" applyNumberFormat="1" applyFont="1" applyBorder="1" applyAlignment="1">
      <alignment horizontal="center" vertical="center" shrinkToFit="1"/>
    </xf>
    <xf numFmtId="4" fontId="7" fillId="0" borderId="59" xfId="7" applyNumberFormat="1" applyFont="1" applyBorder="1" applyAlignment="1">
      <alignment horizontal="center" vertical="center" shrinkToFit="1"/>
    </xf>
    <xf numFmtId="4" fontId="7" fillId="0" borderId="57" xfId="7" applyNumberFormat="1" applyFont="1" applyBorder="1" applyAlignment="1">
      <alignment horizontal="center" vertical="center" shrinkToFit="1"/>
    </xf>
    <xf numFmtId="4" fontId="7" fillId="0" borderId="58" xfId="7" applyNumberFormat="1" applyFont="1" applyBorder="1" applyAlignment="1">
      <alignment horizontal="center" vertical="center" shrinkToFit="1"/>
    </xf>
    <xf numFmtId="4" fontId="7" fillId="0" borderId="20" xfId="7" applyNumberFormat="1" applyFont="1" applyBorder="1" applyAlignment="1">
      <alignment horizontal="center" vertical="center" shrinkToFit="1"/>
    </xf>
    <xf numFmtId="4" fontId="7" fillId="0" borderId="61" xfId="7" applyNumberFormat="1" applyFont="1" applyBorder="1" applyAlignment="1">
      <alignment horizontal="center" vertical="center" shrinkToFit="1"/>
    </xf>
    <xf numFmtId="4" fontId="7" fillId="0" borderId="22" xfId="7" applyNumberFormat="1" applyFont="1" applyBorder="1" applyAlignment="1">
      <alignment horizontal="center" vertical="center" shrinkToFit="1"/>
    </xf>
    <xf numFmtId="0" fontId="26" fillId="0" borderId="3" xfId="0" applyFont="1" applyBorder="1" applyAlignment="1">
      <alignment horizontal="center" vertical="center" wrapText="1"/>
    </xf>
    <xf numFmtId="4" fontId="8" fillId="0" borderId="15" xfId="0" applyNumberFormat="1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horizontal="left" vertical="center" wrapText="1"/>
    </xf>
    <xf numFmtId="0" fontId="15" fillId="0" borderId="3" xfId="0" applyFont="1" applyBorder="1" applyAlignment="1">
      <alignment vertical="center" wrapText="1"/>
    </xf>
    <xf numFmtId="4" fontId="7" fillId="0" borderId="53" xfId="7" applyNumberFormat="1" applyFont="1" applyBorder="1" applyAlignment="1">
      <alignment horizontal="center" vertical="center" shrinkToFit="1"/>
    </xf>
    <xf numFmtId="4" fontId="7" fillId="0" borderId="28" xfId="7" applyNumberFormat="1" applyFont="1" applyBorder="1" applyAlignment="1">
      <alignment horizontal="center" vertical="center" shrinkToFit="1"/>
    </xf>
    <xf numFmtId="4" fontId="7" fillId="0" borderId="29" xfId="7" applyNumberFormat="1" applyFont="1" applyBorder="1" applyAlignment="1">
      <alignment horizontal="center" vertical="center" shrinkToFit="1"/>
    </xf>
    <xf numFmtId="4" fontId="7" fillId="0" borderId="27" xfId="7" applyNumberFormat="1" applyFont="1" applyBorder="1" applyAlignment="1">
      <alignment horizontal="center" vertical="center" shrinkToFit="1"/>
    </xf>
    <xf numFmtId="4" fontId="7" fillId="0" borderId="54" xfId="7" applyNumberFormat="1" applyFont="1" applyBorder="1" applyAlignment="1">
      <alignment horizontal="center" vertical="center" shrinkToFit="1"/>
    </xf>
    <xf numFmtId="4" fontId="7" fillId="0" borderId="55" xfId="7" applyNumberFormat="1" applyFont="1" applyBorder="1" applyAlignment="1">
      <alignment horizontal="center" vertical="center" shrinkToFit="1"/>
    </xf>
    <xf numFmtId="4" fontId="7" fillId="0" borderId="43" xfId="7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 wrapText="1"/>
    </xf>
    <xf numFmtId="0" fontId="7" fillId="0" borderId="3" xfId="6" applyFont="1" applyBorder="1" applyAlignment="1">
      <alignment horizontal="right" vertical="center" wrapText="1"/>
    </xf>
    <xf numFmtId="0" fontId="7" fillId="0" borderId="3" xfId="6" applyFont="1" applyBorder="1" applyAlignment="1">
      <alignment horizontal="center" vertical="center" wrapText="1"/>
    </xf>
    <xf numFmtId="4" fontId="7" fillId="0" borderId="15" xfId="6" applyNumberFormat="1" applyFont="1" applyBorder="1" applyAlignment="1">
      <alignment horizontal="center" vertical="center" shrinkToFit="1"/>
    </xf>
    <xf numFmtId="4" fontId="31" fillId="0" borderId="33" xfId="0" applyNumberFormat="1" applyFont="1" applyBorder="1" applyAlignment="1">
      <alignment horizontal="center" vertical="center" wrapText="1"/>
    </xf>
    <xf numFmtId="0" fontId="53" fillId="0" borderId="3" xfId="0" applyFont="1" applyBorder="1" applyAlignment="1" applyProtection="1">
      <alignment horizontal="center" vertical="center" wrapText="1"/>
      <protection locked="0"/>
    </xf>
    <xf numFmtId="0" fontId="50" fillId="0" borderId="3" xfId="0" applyFont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0" borderId="3" xfId="15" applyFont="1" applyBorder="1" applyAlignment="1">
      <alignment horizontal="center" vertical="center" wrapText="1"/>
    </xf>
    <xf numFmtId="0" fontId="7" fillId="0" borderId="3" xfId="15" applyFont="1" applyBorder="1" applyAlignment="1">
      <alignment horizontal="center" vertical="center" wrapText="1"/>
    </xf>
    <xf numFmtId="4" fontId="41" fillId="0" borderId="15" xfId="15" applyNumberFormat="1" applyFont="1" applyBorder="1" applyAlignment="1">
      <alignment horizontal="center" shrinkToFit="1"/>
    </xf>
    <xf numFmtId="0" fontId="15" fillId="0" borderId="27" xfId="15" applyFont="1" applyBorder="1" applyAlignment="1">
      <alignment horizontal="center" vertical="center" wrapText="1"/>
    </xf>
    <xf numFmtId="169" fontId="43" fillId="0" borderId="0" xfId="0" applyNumberFormat="1" applyFont="1" applyAlignment="1">
      <alignment horizontal="center" vertical="center"/>
    </xf>
    <xf numFmtId="0" fontId="54" fillId="0" borderId="3" xfId="0" applyFont="1" applyBorder="1" applyAlignment="1">
      <alignment horizontal="center" vertical="center" wrapText="1"/>
    </xf>
    <xf numFmtId="4" fontId="54" fillId="0" borderId="15" xfId="0" applyNumberFormat="1" applyFont="1" applyBorder="1" applyAlignment="1">
      <alignment horizontal="center" vertical="center" wrapText="1"/>
    </xf>
    <xf numFmtId="0" fontId="23" fillId="0" borderId="3" xfId="9" applyFont="1" applyBorder="1" applyAlignment="1">
      <alignment horizontal="center" vertical="center" wrapText="1"/>
    </xf>
    <xf numFmtId="4" fontId="23" fillId="0" borderId="15" xfId="9" applyNumberFormat="1" applyFont="1" applyBorder="1" applyAlignment="1">
      <alignment horizontal="center" vertical="center" shrinkToFit="1"/>
    </xf>
    <xf numFmtId="4" fontId="24" fillId="0" borderId="15" xfId="9" applyNumberFormat="1" applyFont="1" applyBorder="1" applyAlignment="1">
      <alignment horizontal="center" vertical="center" shrinkToFit="1"/>
    </xf>
    <xf numFmtId="0" fontId="7" fillId="0" borderId="58" xfId="22" applyFont="1" applyBorder="1" applyAlignment="1">
      <alignment horizontal="center" vertical="center"/>
    </xf>
    <xf numFmtId="0" fontId="9" fillId="0" borderId="58" xfId="0" applyFont="1" applyBorder="1" applyAlignment="1">
      <alignment horizontal="left" vertical="center" wrapText="1"/>
    </xf>
    <xf numFmtId="0" fontId="24" fillId="0" borderId="58" xfId="0" applyFont="1" applyBorder="1" applyAlignment="1">
      <alignment horizontal="center" vertical="center" wrapText="1"/>
    </xf>
    <xf numFmtId="4" fontId="24" fillId="0" borderId="59" xfId="0" applyNumberFormat="1" applyFont="1" applyBorder="1" applyAlignment="1">
      <alignment horizontal="center" vertical="center" wrapText="1"/>
    </xf>
    <xf numFmtId="49" fontId="8" fillId="0" borderId="3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57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 applyProtection="1">
      <alignment horizontal="center" vertical="center" wrapText="1"/>
      <protection locked="0"/>
    </xf>
    <xf numFmtId="1" fontId="8" fillId="0" borderId="2" xfId="0" applyNumberFormat="1" applyFont="1" applyBorder="1" applyAlignment="1" applyProtection="1">
      <alignment horizontal="center" vertical="center" wrapText="1"/>
      <protection locked="0"/>
    </xf>
    <xf numFmtId="1" fontId="8" fillId="0" borderId="2" xfId="0" applyNumberFormat="1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center" vertical="center"/>
      <protection locked="0"/>
    </xf>
    <xf numFmtId="49" fontId="8" fillId="0" borderId="35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1" fontId="8" fillId="0" borderId="32" xfId="0" applyNumberFormat="1" applyFont="1" applyBorder="1" applyAlignment="1">
      <alignment horizontal="center" vertical="center"/>
    </xf>
    <xf numFmtId="0" fontId="7" fillId="0" borderId="2" xfId="14" applyFont="1" applyBorder="1" applyAlignment="1">
      <alignment horizontal="center" vertical="center" wrapText="1"/>
    </xf>
    <xf numFmtId="3" fontId="41" fillId="0" borderId="3" xfId="0" applyNumberFormat="1" applyFont="1" applyBorder="1" applyAlignment="1">
      <alignment horizontal="center" vertical="center"/>
    </xf>
    <xf numFmtId="0" fontId="7" fillId="0" borderId="4" xfId="14" applyFont="1" applyBorder="1" applyAlignment="1">
      <alignment horizontal="left" vertical="center" wrapText="1" indent="1"/>
    </xf>
    <xf numFmtId="4" fontId="7" fillId="0" borderId="5" xfId="14" applyNumberFormat="1" applyFont="1" applyBorder="1" applyAlignment="1">
      <alignment horizontal="center" vertical="center" shrinkToFit="1"/>
    </xf>
    <xf numFmtId="4" fontId="41" fillId="0" borderId="0" xfId="0" quotePrefix="1" applyNumberFormat="1" applyFont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4" fontId="7" fillId="0" borderId="0" xfId="0" quotePrefix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5" fillId="0" borderId="0" xfId="0" applyFont="1"/>
    <xf numFmtId="0" fontId="7" fillId="0" borderId="35" xfId="14" applyFont="1" applyBorder="1" applyAlignment="1">
      <alignment horizontal="center" vertical="center" wrapText="1"/>
    </xf>
    <xf numFmtId="165" fontId="41" fillId="0" borderId="52" xfId="0" applyNumberFormat="1" applyFont="1" applyBorder="1" applyAlignment="1">
      <alignment horizontal="center" vertical="center"/>
    </xf>
    <xf numFmtId="0" fontId="7" fillId="0" borderId="36" xfId="14" applyFont="1" applyBorder="1" applyAlignment="1">
      <alignment horizontal="left" vertical="center" wrapText="1" indent="1"/>
    </xf>
    <xf numFmtId="4" fontId="7" fillId="0" borderId="18" xfId="14" applyNumberFormat="1" applyFont="1" applyBorder="1" applyAlignment="1">
      <alignment horizontal="center" vertical="center" shrinkToFit="1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22" applyFont="1" applyBorder="1" applyAlignment="1">
      <alignment horizontal="center" vertical="center"/>
    </xf>
    <xf numFmtId="49" fontId="9" fillId="0" borderId="3" xfId="22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right" vertical="center" wrapText="1"/>
    </xf>
    <xf numFmtId="0" fontId="24" fillId="0" borderId="3" xfId="6" applyFont="1" applyBorder="1" applyAlignment="1">
      <alignment horizontal="right" vertical="center" wrapText="1"/>
    </xf>
    <xf numFmtId="0" fontId="23" fillId="0" borderId="3" xfId="6" applyFont="1" applyBorder="1" applyAlignment="1">
      <alignment horizontal="center" vertical="center" wrapText="1"/>
    </xf>
    <xf numFmtId="0" fontId="9" fillId="0" borderId="3" xfId="6" applyFont="1" applyBorder="1" applyAlignment="1">
      <alignment vertical="center" wrapText="1"/>
    </xf>
    <xf numFmtId="0" fontId="8" fillId="4" borderId="30" xfId="6" applyFont="1" applyFill="1" applyBorder="1" applyAlignment="1">
      <alignment horizontal="left" vertical="center" indent="1"/>
    </xf>
    <xf numFmtId="0" fontId="8" fillId="4" borderId="31" xfId="6" applyFont="1" applyFill="1" applyBorder="1" applyAlignment="1">
      <alignment horizontal="left" vertical="center" indent="1"/>
    </xf>
    <xf numFmtId="0" fontId="7" fillId="4" borderId="31" xfId="14" applyFont="1" applyFill="1" applyBorder="1" applyAlignment="1">
      <alignment horizontal="left" vertical="center" wrapText="1" indent="1"/>
    </xf>
    <xf numFmtId="4" fontId="7" fillId="4" borderId="31" xfId="14" applyNumberFormat="1" applyFont="1" applyFill="1" applyBorder="1" applyAlignment="1">
      <alignment horizontal="center" vertical="center" shrinkToFit="1"/>
    </xf>
    <xf numFmtId="4" fontId="7" fillId="4" borderId="63" xfId="14" applyNumberFormat="1" applyFont="1" applyFill="1" applyBorder="1" applyAlignment="1">
      <alignment horizontal="center" vertical="center" shrinkToFit="1"/>
    </xf>
    <xf numFmtId="4" fontId="7" fillId="0" borderId="43" xfId="14" applyNumberFormat="1" applyFont="1" applyBorder="1" applyAlignment="1">
      <alignment horizontal="center" vertical="center" shrinkToFit="1"/>
    </xf>
    <xf numFmtId="4" fontId="7" fillId="0" borderId="24" xfId="14" applyNumberFormat="1" applyFont="1" applyBorder="1" applyAlignment="1">
      <alignment horizontal="center" vertical="center" shrinkToFit="1"/>
    </xf>
    <xf numFmtId="3" fontId="41" fillId="0" borderId="52" xfId="0" applyNumberFormat="1" applyFont="1" applyBorder="1" applyAlignment="1">
      <alignment horizontal="center" vertical="center"/>
    </xf>
    <xf numFmtId="4" fontId="7" fillId="0" borderId="23" xfId="14" applyNumberFormat="1" applyFont="1" applyBorder="1" applyAlignment="1">
      <alignment horizontal="center" vertical="center" shrinkToFit="1"/>
    </xf>
    <xf numFmtId="0" fontId="7" fillId="0" borderId="29" xfId="14" applyFont="1" applyBorder="1" applyAlignment="1">
      <alignment horizontal="center" vertical="center" wrapText="1"/>
    </xf>
    <xf numFmtId="3" fontId="41" fillId="0" borderId="27" xfId="0" applyNumberFormat="1" applyFont="1" applyBorder="1" applyAlignment="1">
      <alignment horizontal="center" vertical="center"/>
    </xf>
    <xf numFmtId="4" fontId="7" fillId="0" borderId="64" xfId="14" applyNumberFormat="1" applyFont="1" applyBorder="1" applyAlignment="1">
      <alignment horizontal="center" vertical="center" shrinkToFit="1"/>
    </xf>
    <xf numFmtId="4" fontId="7" fillId="0" borderId="55" xfId="14" applyNumberFormat="1" applyFont="1" applyBorder="1" applyAlignment="1">
      <alignment horizontal="left" vertical="center" wrapText="1" indent="1"/>
    </xf>
    <xf numFmtId="3" fontId="18" fillId="0" borderId="13" xfId="7" applyNumberFormat="1" applyFont="1" applyBorder="1" applyAlignment="1">
      <alignment horizontal="right" vertical="center"/>
    </xf>
    <xf numFmtId="0" fontId="8" fillId="0" borderId="62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2" fillId="0" borderId="13" xfId="9" applyFont="1" applyBorder="1" applyAlignment="1">
      <alignment horizontal="center" vertical="center"/>
    </xf>
    <xf numFmtId="4" fontId="44" fillId="0" borderId="0" xfId="0" applyNumberFormat="1" applyFont="1" applyAlignment="1">
      <alignment horizontal="center" vertical="center"/>
    </xf>
    <xf numFmtId="0" fontId="9" fillId="2" borderId="38" xfId="22" applyFont="1" applyFill="1" applyBorder="1" applyAlignment="1">
      <alignment horizontal="center" vertical="center" wrapText="1"/>
    </xf>
    <xf numFmtId="0" fontId="9" fillId="2" borderId="39" xfId="22" applyFont="1" applyFill="1" applyBorder="1" applyAlignment="1">
      <alignment horizontal="center" vertical="center" wrapText="1"/>
    </xf>
    <xf numFmtId="0" fontId="9" fillId="2" borderId="33" xfId="6" applyFont="1" applyFill="1" applyBorder="1" applyAlignment="1">
      <alignment horizontal="center" vertical="center" wrapText="1"/>
    </xf>
    <xf numFmtId="0" fontId="9" fillId="2" borderId="40" xfId="6" applyFont="1" applyFill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top"/>
    </xf>
    <xf numFmtId="0" fontId="42" fillId="0" borderId="25" xfId="0" applyFont="1" applyBorder="1" applyAlignment="1">
      <alignment horizontal="center" vertical="top"/>
    </xf>
    <xf numFmtId="4" fontId="12" fillId="0" borderId="13" xfId="6" applyNumberFormat="1" applyFont="1" applyBorder="1" applyAlignment="1">
      <alignment horizontal="center" vertical="center"/>
    </xf>
    <xf numFmtId="0" fontId="12" fillId="0" borderId="13" xfId="6" applyFont="1" applyBorder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9" fillId="2" borderId="35" xfId="6" applyFont="1" applyFill="1" applyBorder="1" applyAlignment="1">
      <alignment horizontal="center" vertical="center" wrapText="1"/>
    </xf>
    <xf numFmtId="0" fontId="9" fillId="2" borderId="29" xfId="6" applyFont="1" applyFill="1" applyBorder="1" applyAlignment="1">
      <alignment horizontal="center" vertical="center" wrapText="1"/>
    </xf>
    <xf numFmtId="0" fontId="9" fillId="2" borderId="41" xfId="22" applyFont="1" applyFill="1" applyBorder="1" applyAlignment="1">
      <alignment horizontal="center" vertical="center" wrapText="1"/>
    </xf>
    <xf numFmtId="0" fontId="9" fillId="2" borderId="42" xfId="22" applyFont="1" applyFill="1" applyBorder="1" applyAlignment="1">
      <alignment horizontal="center" vertical="center" wrapText="1"/>
    </xf>
    <xf numFmtId="0" fontId="9" fillId="2" borderId="18" xfId="16" applyNumberFormat="1" applyFont="1" applyFill="1" applyBorder="1" applyAlignment="1" applyProtection="1">
      <alignment horizontal="center" vertical="center" wrapText="1"/>
    </xf>
    <xf numFmtId="0" fontId="9" fillId="2" borderId="43" xfId="16" applyNumberFormat="1" applyFont="1" applyFill="1" applyBorder="1" applyAlignment="1" applyProtection="1">
      <alignment horizontal="center" vertical="center" wrapText="1"/>
    </xf>
    <xf numFmtId="0" fontId="9" fillId="2" borderId="6" xfId="22" applyFont="1" applyFill="1" applyBorder="1" applyAlignment="1">
      <alignment horizontal="center" vertical="center" wrapText="1"/>
    </xf>
    <xf numFmtId="0" fontId="9" fillId="2" borderId="7" xfId="22" applyFont="1" applyFill="1" applyBorder="1" applyAlignment="1">
      <alignment horizontal="center" vertical="center" wrapText="1"/>
    </xf>
    <xf numFmtId="0" fontId="9" fillId="2" borderId="8" xfId="22" applyFont="1" applyFill="1" applyBorder="1" applyAlignment="1">
      <alignment horizontal="center" vertical="center" wrapText="1"/>
    </xf>
    <xf numFmtId="4" fontId="52" fillId="0" borderId="0" xfId="0" applyNumberFormat="1" applyFont="1" applyAlignment="1">
      <alignment horizontal="center" vertical="center"/>
    </xf>
    <xf numFmtId="0" fontId="3" fillId="2" borderId="46" xfId="7" applyFont="1" applyFill="1" applyBorder="1" applyAlignment="1">
      <alignment horizontal="center" vertical="center" wrapText="1"/>
    </xf>
    <xf numFmtId="0" fontId="3" fillId="2" borderId="47" xfId="7" applyFont="1" applyFill="1" applyBorder="1" applyAlignment="1">
      <alignment horizontal="center" vertical="center" wrapText="1"/>
    </xf>
    <xf numFmtId="0" fontId="3" fillId="2" borderId="48" xfId="7" applyFont="1" applyFill="1" applyBorder="1" applyAlignment="1">
      <alignment horizontal="center" vertical="center" wrapText="1"/>
    </xf>
    <xf numFmtId="0" fontId="7" fillId="0" borderId="25" xfId="7" applyFont="1" applyBorder="1" applyAlignment="1">
      <alignment horizontal="center" vertical="top"/>
    </xf>
    <xf numFmtId="0" fontId="11" fillId="0" borderId="0" xfId="7" applyFont="1" applyAlignment="1">
      <alignment horizontal="center" vertical="center"/>
    </xf>
    <xf numFmtId="4" fontId="29" fillId="0" borderId="13" xfId="7" applyNumberFormat="1" applyFont="1" applyBorder="1" applyAlignment="1">
      <alignment horizontal="center" vertical="center"/>
    </xf>
    <xf numFmtId="0" fontId="29" fillId="0" borderId="13" xfId="7" applyFont="1" applyBorder="1" applyAlignment="1">
      <alignment horizontal="center" vertical="center"/>
    </xf>
    <xf numFmtId="0" fontId="7" fillId="0" borderId="0" xfId="7" applyFont="1" applyAlignment="1">
      <alignment horizontal="center" vertical="top"/>
    </xf>
    <xf numFmtId="0" fontId="7" fillId="2" borderId="32" xfId="7" applyFont="1" applyFill="1" applyBorder="1" applyAlignment="1">
      <alignment horizontal="center" vertical="center" wrapText="1"/>
    </xf>
    <xf numFmtId="0" fontId="7" fillId="2" borderId="44" xfId="7" applyFont="1" applyFill="1" applyBorder="1" applyAlignment="1">
      <alignment horizontal="center" vertical="center" wrapText="1"/>
    </xf>
    <xf numFmtId="0" fontId="7" fillId="2" borderId="33" xfId="7" applyFont="1" applyFill="1" applyBorder="1" applyAlignment="1">
      <alignment horizontal="center" vertical="center" wrapText="1"/>
    </xf>
    <xf numFmtId="0" fontId="7" fillId="2" borderId="40" xfId="7" applyFont="1" applyFill="1" applyBorder="1" applyAlignment="1">
      <alignment horizontal="center" vertical="center" wrapText="1"/>
    </xf>
    <xf numFmtId="0" fontId="7" fillId="2" borderId="33" xfId="7" applyFont="1" applyFill="1" applyBorder="1" applyAlignment="1">
      <alignment horizontal="center" vertical="center" shrinkToFit="1"/>
    </xf>
    <xf numFmtId="0" fontId="7" fillId="2" borderId="40" xfId="7" applyFont="1" applyFill="1" applyBorder="1" applyAlignment="1">
      <alignment horizontal="center" vertical="center" shrinkToFit="1"/>
    </xf>
    <xf numFmtId="0" fontId="7" fillId="2" borderId="34" xfId="7" applyFont="1" applyFill="1" applyBorder="1" applyAlignment="1">
      <alignment horizontal="center" vertical="center" shrinkToFit="1"/>
    </xf>
    <xf numFmtId="0" fontId="7" fillId="2" borderId="45" xfId="7" applyFont="1" applyFill="1" applyBorder="1" applyAlignment="1">
      <alignment horizontal="center" vertical="center" shrinkToFit="1"/>
    </xf>
    <xf numFmtId="0" fontId="7" fillId="2" borderId="34" xfId="7" applyFont="1" applyFill="1" applyBorder="1" applyAlignment="1">
      <alignment horizontal="center" vertical="center" wrapText="1"/>
    </xf>
    <xf numFmtId="0" fontId="7" fillId="2" borderId="45" xfId="7" applyFont="1" applyFill="1" applyBorder="1" applyAlignment="1">
      <alignment horizontal="center" vertical="center" wrapText="1"/>
    </xf>
    <xf numFmtId="0" fontId="7" fillId="2" borderId="49" xfId="7" applyFont="1" applyFill="1" applyBorder="1" applyAlignment="1">
      <alignment horizontal="center" vertical="center" wrapText="1"/>
    </xf>
    <xf numFmtId="0" fontId="7" fillId="2" borderId="50" xfId="7" applyFont="1" applyFill="1" applyBorder="1" applyAlignment="1">
      <alignment horizontal="center" vertical="center" wrapText="1"/>
    </xf>
    <xf numFmtId="0" fontId="7" fillId="2" borderId="50" xfId="7" applyFont="1" applyFill="1" applyBorder="1" applyAlignment="1">
      <alignment horizontal="center" vertical="center" shrinkToFit="1"/>
    </xf>
    <xf numFmtId="0" fontId="7" fillId="2" borderId="51" xfId="7" applyFont="1" applyFill="1" applyBorder="1" applyAlignment="1">
      <alignment horizontal="center" vertical="center" shrinkToFit="1"/>
    </xf>
  </cellXfs>
  <cellStyles count="26">
    <cellStyle name="Comma 2" xfId="1" xr:uid="{2E2075A5-93AA-4BAA-B349-54FBBD9D4CFB}"/>
    <cellStyle name="Comma 2 2" xfId="24" xr:uid="{F63B3110-BEB0-4E6B-B5F5-044B0CEDBCEE}"/>
    <cellStyle name="Comma 3" xfId="2" xr:uid="{D16C74F2-D64B-43B5-AEB6-0A3BCBE09983}"/>
    <cellStyle name="Comma 4" xfId="3" xr:uid="{8E8C7C13-3982-473B-87BE-9CF555D44BE3}"/>
    <cellStyle name="Comma 4 2" xfId="25" xr:uid="{3C2E997B-C785-4DC6-BB74-211F3FAA0A17}"/>
    <cellStyle name="Excel Built-in Normal" xfId="4" xr:uid="{DF0E1450-E44D-417E-9DB2-CA08CEE34E59}"/>
    <cellStyle name="Normal" xfId="0" builtinId="0"/>
    <cellStyle name="Normal 10 10" xfId="5" xr:uid="{56D53358-8BFF-40AD-930C-0AEF669C47CB}"/>
    <cellStyle name="Normal 11 2" xfId="6" xr:uid="{F9F0CA94-069A-4509-9766-8F1D1B5E536A}"/>
    <cellStyle name="Normal 14" xfId="7" xr:uid="{AF7C48E9-14EB-4BC0-B36E-9921D4C710B5}"/>
    <cellStyle name="Normal 165" xfId="8" xr:uid="{B9E570D1-BE09-4DF4-9692-5E6AD7AD9976}"/>
    <cellStyle name="Normal 2 10 2 2" xfId="9" xr:uid="{75095254-E530-4B57-B96B-DA349B18A224}"/>
    <cellStyle name="Normal 2 2" xfId="10" xr:uid="{D38D5AD8-CBC6-46B3-9876-91CF30701300}"/>
    <cellStyle name="Normal 3 2" xfId="11" xr:uid="{3A5A080B-5D99-4176-9738-0D17CF0B66D4}"/>
    <cellStyle name="Normal 3_4_1_1" xfId="12" xr:uid="{13146148-3493-4C75-A1CF-115CB3417D36}"/>
    <cellStyle name="Normal_Aluksnes_Pilssalas_Tames sagatave" xfId="13" xr:uid="{9E413DA0-FE85-4D27-A6CC-7FE081A43D97}"/>
    <cellStyle name="Normal_Pielikums_3_Tehniska specifikacija" xfId="14" xr:uid="{A278B0C5-C2E6-4209-900F-6028EC655A0B}"/>
    <cellStyle name="Normal_RS_spec_vent_17.05" xfId="15" xr:uid="{9AB8D80D-EEB1-4BAC-BEC2-80EED68F1A47}"/>
    <cellStyle name="Normal_Sheet1" xfId="16" xr:uid="{F319926C-510F-4651-9B13-7A30AA9F01C0}"/>
    <cellStyle name="Normal_TAME-POLIPLASTS 2" xfId="17" xr:uid="{DF4D16DF-D096-4777-BCD0-A29FE4B0989C}"/>
    <cellStyle name="Normal_tāme roja DABASZINĪBAS JF" xfId="18" xr:uid="{AB02BA02-063F-40F4-B526-1D572005DF52}"/>
    <cellStyle name="Parastais 3 2" xfId="19" xr:uid="{17984378-90E3-47CE-BDCD-1BFF461890B2}"/>
    <cellStyle name="Parasts 2" xfId="20" xr:uid="{7C7EDE23-C078-4C63-AD11-25A20092A879}"/>
    <cellStyle name="Percent" xfId="21" builtinId="5"/>
    <cellStyle name="Style 1" xfId="22" xr:uid="{CA2D1541-F3E6-47D2-B487-982C71DEF221}"/>
    <cellStyle name="Style 1 2" xfId="23" xr:uid="{7B4BF270-EA15-4A17-A220-81E65FB223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arai\Downloads\TAME%20-%20SIGAS%20-%2001.10.2025.xlsx" TargetMode="External"/><Relationship Id="rId1" Type="http://schemas.openxmlformats.org/officeDocument/2006/relationships/externalLinkPath" Target="/Users/garai/Downloads/TAME%20-%20SIGAS%20-%2001.10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optāme"/>
      <sheetName val="Kopsavilkum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/>
      <sheetData sheetId="1">
        <row r="9">
          <cell r="H9" t="str">
            <v>Tāme sastādīta: 2025.gada 01.oktobrī</v>
          </cell>
        </row>
        <row r="45">
          <cell r="D45" t="str">
            <v>01.10.2025.</v>
          </cell>
        </row>
        <row r="48">
          <cell r="B48" t="str">
            <v>-</v>
          </cell>
        </row>
        <row r="50">
          <cell r="D50" t="str">
            <v>01.10.2025.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www.elektrika.lv/lv/schneider-electric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DC538-A5AB-4A64-BE79-38F2CE943361}">
  <sheetPr>
    <tabColor rgb="FF92D050"/>
    <pageSetUpPr fitToPage="1"/>
  </sheetPr>
  <dimension ref="A1:AJ340"/>
  <sheetViews>
    <sheetView tabSelected="1" zoomScaleNormal="100" workbookViewId="0">
      <selection activeCell="C13" sqref="C13"/>
    </sheetView>
  </sheetViews>
  <sheetFormatPr defaultRowHeight="15" x14ac:dyDescent="0.25"/>
  <cols>
    <col min="1" max="1" width="10.7109375" customWidth="1"/>
    <col min="2" max="2" width="50.7109375" customWidth="1"/>
    <col min="3" max="3" width="20.7109375" customWidth="1"/>
    <col min="4" max="4" width="8.85546875" style="111"/>
    <col min="5" max="8" width="15.7109375" style="111" customWidth="1"/>
    <col min="9" max="36" width="8.85546875" style="111"/>
  </cols>
  <sheetData>
    <row r="1" spans="1:36" x14ac:dyDescent="0.25">
      <c r="A1" s="383" t="s">
        <v>30</v>
      </c>
      <c r="B1" s="383"/>
      <c r="C1" s="383"/>
    </row>
    <row r="2" spans="1:36" x14ac:dyDescent="0.25">
      <c r="A2" s="106"/>
      <c r="B2" s="106"/>
      <c r="C2" s="106"/>
    </row>
    <row r="3" spans="1:36" s="144" customFormat="1" ht="12" x14ac:dyDescent="0.2">
      <c r="A3" s="107" t="s">
        <v>60</v>
      </c>
      <c r="B3" s="155"/>
      <c r="C3" s="106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</row>
    <row r="4" spans="1:36" s="144" customFormat="1" ht="12" x14ac:dyDescent="0.2">
      <c r="A4" s="107" t="s">
        <v>59</v>
      </c>
      <c r="B4" s="155"/>
      <c r="C4" s="106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</row>
    <row r="5" spans="1:36" s="144" customFormat="1" ht="12" x14ac:dyDescent="0.2">
      <c r="A5" s="156" t="s">
        <v>61</v>
      </c>
      <c r="B5" s="155"/>
      <c r="C5" s="106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</row>
    <row r="6" spans="1:36" s="144" customFormat="1" ht="12" x14ac:dyDescent="0.2">
      <c r="A6" s="107" t="s">
        <v>58</v>
      </c>
      <c r="B6" s="155"/>
      <c r="C6" s="106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</row>
    <row r="7" spans="1:36" x14ac:dyDescent="0.25">
      <c r="A7" s="107"/>
      <c r="B7" s="106"/>
      <c r="C7" s="106"/>
    </row>
    <row r="8" spans="1:36" x14ac:dyDescent="0.25">
      <c r="A8" s="62"/>
      <c r="B8" s="62"/>
      <c r="C8" s="157" t="s">
        <v>746</v>
      </c>
    </row>
    <row r="9" spans="1:36" ht="15.75" thickBot="1" x14ac:dyDescent="0.3">
      <c r="A9" s="62"/>
      <c r="B9" s="62"/>
      <c r="C9" s="108"/>
    </row>
    <row r="10" spans="1:36" s="144" customFormat="1" ht="30" customHeight="1" thickBot="1" x14ac:dyDescent="0.25">
      <c r="A10" s="148" t="s">
        <v>1</v>
      </c>
      <c r="B10" s="149" t="s">
        <v>31</v>
      </c>
      <c r="C10" s="150" t="s">
        <v>33</v>
      </c>
      <c r="D10" s="90"/>
      <c r="E10" s="151"/>
      <c r="F10" s="136"/>
      <c r="G10" s="136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</row>
    <row r="11" spans="1:36" s="144" customFormat="1" ht="30" customHeight="1" thickBot="1" x14ac:dyDescent="0.25">
      <c r="A11" s="152">
        <v>1</v>
      </c>
      <c r="B11" s="153" t="s">
        <v>62</v>
      </c>
      <c r="C11" s="154">
        <f>Kopsavilkums!D41</f>
        <v>0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</row>
    <row r="12" spans="1:36" s="144" customFormat="1" ht="19.899999999999999" customHeight="1" thickBot="1" x14ac:dyDescent="0.25">
      <c r="A12" s="145"/>
      <c r="B12" s="146" t="s">
        <v>23</v>
      </c>
      <c r="C12" s="147">
        <f>ROUND(SUM(C11:C11),2)</f>
        <v>0</v>
      </c>
      <c r="D12" s="90"/>
      <c r="E12" s="136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</row>
    <row r="13" spans="1:36" s="144" customFormat="1" ht="19.899999999999999" customHeight="1" thickBot="1" x14ac:dyDescent="0.25">
      <c r="A13" s="141"/>
      <c r="B13" s="142" t="s">
        <v>57</v>
      </c>
      <c r="C13" s="143">
        <f>ROUND(C12*5%,2)</f>
        <v>0</v>
      </c>
      <c r="D13" s="90"/>
      <c r="E13" s="136"/>
      <c r="F13" s="90"/>
      <c r="G13" s="136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</row>
    <row r="14" spans="1:36" s="144" customFormat="1" ht="19.899999999999999" customHeight="1" thickBot="1" x14ac:dyDescent="0.25">
      <c r="A14" s="145"/>
      <c r="B14" s="146" t="s">
        <v>588</v>
      </c>
      <c r="C14" s="147">
        <f>ROUND(SUM(C12:C13),2)</f>
        <v>0</v>
      </c>
      <c r="D14" s="90"/>
      <c r="E14" s="136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</row>
    <row r="15" spans="1:36" s="144" customFormat="1" ht="19.899999999999999" customHeight="1" thickBot="1" x14ac:dyDescent="0.25">
      <c r="A15" s="141"/>
      <c r="B15" s="142" t="s">
        <v>32</v>
      </c>
      <c r="C15" s="143">
        <f>ROUND(C14*21%,2)</f>
        <v>0</v>
      </c>
      <c r="D15" s="90"/>
      <c r="E15" s="136"/>
      <c r="F15" s="90"/>
      <c r="G15" s="136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</row>
    <row r="16" spans="1:36" s="144" customFormat="1" ht="19.899999999999999" customHeight="1" thickBot="1" x14ac:dyDescent="0.25">
      <c r="A16" s="145"/>
      <c r="B16" s="146" t="s">
        <v>589</v>
      </c>
      <c r="C16" s="147">
        <f>ROUND(SUM(C14:C15),2)</f>
        <v>0</v>
      </c>
      <c r="D16" s="90"/>
      <c r="E16" s="136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</row>
    <row r="17" spans="1:8" ht="49.9" customHeight="1" x14ac:dyDescent="0.25">
      <c r="A17" s="109"/>
      <c r="B17" s="110"/>
      <c r="C17" s="110"/>
    </row>
    <row r="18" spans="1:8" x14ac:dyDescent="0.25">
      <c r="A18" s="99" t="s">
        <v>10</v>
      </c>
      <c r="B18" s="112"/>
      <c r="C18" s="116" t="s">
        <v>745</v>
      </c>
    </row>
    <row r="19" spans="1:8" x14ac:dyDescent="0.25">
      <c r="A19" s="89"/>
      <c r="B19" s="97" t="s">
        <v>12</v>
      </c>
      <c r="C19" s="89"/>
    </row>
    <row r="20" spans="1:8" ht="4.9000000000000004" customHeight="1" x14ac:dyDescent="0.25">
      <c r="A20" s="89"/>
      <c r="B20" s="98"/>
      <c r="C20" s="89"/>
    </row>
    <row r="21" spans="1:8" x14ac:dyDescent="0.25">
      <c r="A21" s="101"/>
      <c r="B21" s="103" t="s">
        <v>63</v>
      </c>
      <c r="C21" s="101"/>
    </row>
    <row r="22" spans="1:8" x14ac:dyDescent="0.25">
      <c r="A22" s="89"/>
      <c r="B22" s="89"/>
      <c r="C22" s="89"/>
    </row>
    <row r="23" spans="1:8" x14ac:dyDescent="0.25">
      <c r="A23" s="99" t="s">
        <v>11</v>
      </c>
      <c r="B23" s="112"/>
      <c r="C23" s="116" t="str">
        <f>C18</f>
        <v>datums</v>
      </c>
    </row>
    <row r="24" spans="1:8" x14ac:dyDescent="0.25">
      <c r="A24" s="89"/>
      <c r="B24" s="97" t="s">
        <v>12</v>
      </c>
      <c r="C24" s="89"/>
    </row>
    <row r="25" spans="1:8" ht="4.9000000000000004" customHeight="1" x14ac:dyDescent="0.25">
      <c r="A25" s="89"/>
      <c r="B25" s="98"/>
      <c r="C25" s="89"/>
    </row>
    <row r="26" spans="1:8" x14ac:dyDescent="0.25">
      <c r="A26" s="101"/>
      <c r="B26" s="103" t="s">
        <v>744</v>
      </c>
      <c r="C26" s="101"/>
    </row>
    <row r="27" spans="1:8" s="111" customFormat="1" ht="12.75" x14ac:dyDescent="0.25"/>
    <row r="28" spans="1:8" s="111" customFormat="1" ht="12.75" x14ac:dyDescent="0.25"/>
    <row r="29" spans="1:8" s="111" customFormat="1" ht="12.75" x14ac:dyDescent="0.25"/>
    <row r="30" spans="1:8" s="111" customFormat="1" ht="12.75" x14ac:dyDescent="0.25"/>
    <row r="31" spans="1:8" s="111" customFormat="1" ht="12.75" x14ac:dyDescent="0.25">
      <c r="E31" s="117"/>
      <c r="F31" s="117"/>
      <c r="G31" s="117"/>
      <c r="H31" s="117"/>
    </row>
    <row r="32" spans="1:8" s="111" customFormat="1" ht="12.75" x14ac:dyDescent="0.25">
      <c r="E32" s="118"/>
      <c r="F32" s="118"/>
      <c r="G32" s="118"/>
    </row>
    <row r="33" s="111" customFormat="1" ht="12.75" x14ac:dyDescent="0.25"/>
    <row r="34" s="111" customFormat="1" ht="12.75" x14ac:dyDescent="0.25"/>
    <row r="35" s="111" customFormat="1" ht="12.75" x14ac:dyDescent="0.25"/>
    <row r="36" s="111" customFormat="1" ht="12.75" x14ac:dyDescent="0.25"/>
    <row r="37" s="111" customFormat="1" ht="12.75" x14ac:dyDescent="0.25"/>
    <row r="38" s="111" customFormat="1" ht="12.75" x14ac:dyDescent="0.25"/>
    <row r="39" s="111" customFormat="1" ht="12.75" x14ac:dyDescent="0.25"/>
    <row r="40" s="111" customFormat="1" ht="12.75" x14ac:dyDescent="0.25"/>
    <row r="41" s="111" customFormat="1" ht="12.75" x14ac:dyDescent="0.25"/>
    <row r="42" s="111" customFormat="1" ht="12.75" x14ac:dyDescent="0.25"/>
    <row r="43" s="111" customFormat="1" ht="12.75" x14ac:dyDescent="0.25"/>
    <row r="44" s="111" customFormat="1" ht="12.75" x14ac:dyDescent="0.25"/>
    <row r="45" s="111" customFormat="1" ht="12.75" x14ac:dyDescent="0.25"/>
    <row r="46" s="111" customFormat="1" ht="12.75" x14ac:dyDescent="0.25"/>
    <row r="47" s="111" customFormat="1" ht="12.75" x14ac:dyDescent="0.25"/>
    <row r="48" s="111" customFormat="1" ht="12.75" x14ac:dyDescent="0.25"/>
    <row r="49" s="111" customFormat="1" ht="12.75" x14ac:dyDescent="0.25"/>
    <row r="50" s="111" customFormat="1" ht="12.75" x14ac:dyDescent="0.25"/>
    <row r="51" s="111" customFormat="1" ht="12.75" x14ac:dyDescent="0.25"/>
    <row r="52" s="111" customFormat="1" ht="12.75" x14ac:dyDescent="0.25"/>
    <row r="53" s="111" customFormat="1" ht="12.75" x14ac:dyDescent="0.25"/>
    <row r="54" s="111" customFormat="1" ht="12.75" x14ac:dyDescent="0.25"/>
    <row r="55" s="111" customFormat="1" ht="12.75" x14ac:dyDescent="0.25"/>
    <row r="56" s="111" customFormat="1" ht="12.75" x14ac:dyDescent="0.25"/>
    <row r="57" s="111" customFormat="1" ht="12.75" x14ac:dyDescent="0.25"/>
    <row r="58" s="111" customFormat="1" ht="12.75" x14ac:dyDescent="0.25"/>
    <row r="59" s="111" customFormat="1" ht="12.75" x14ac:dyDescent="0.25"/>
    <row r="60" s="111" customFormat="1" ht="12.75" x14ac:dyDescent="0.25"/>
    <row r="61" s="111" customFormat="1" ht="12.75" x14ac:dyDescent="0.25"/>
    <row r="62" s="111" customFormat="1" ht="12.75" x14ac:dyDescent="0.25"/>
    <row r="63" s="111" customFormat="1" ht="12.75" x14ac:dyDescent="0.25"/>
    <row r="64" s="111" customFormat="1" ht="12.75" x14ac:dyDescent="0.25"/>
    <row r="65" s="111" customFormat="1" ht="12.75" x14ac:dyDescent="0.25"/>
    <row r="66" s="111" customFormat="1" ht="12.75" x14ac:dyDescent="0.25"/>
    <row r="67" s="111" customFormat="1" ht="12.75" x14ac:dyDescent="0.25"/>
    <row r="68" s="111" customFormat="1" ht="12.75" x14ac:dyDescent="0.25"/>
    <row r="69" s="111" customFormat="1" ht="12.75" x14ac:dyDescent="0.25"/>
    <row r="70" s="111" customFormat="1" ht="12.75" x14ac:dyDescent="0.25"/>
    <row r="71" s="111" customFormat="1" ht="12.75" x14ac:dyDescent="0.25"/>
    <row r="72" s="111" customFormat="1" ht="12.75" x14ac:dyDescent="0.25"/>
    <row r="73" s="111" customFormat="1" ht="12.75" x14ac:dyDescent="0.25"/>
    <row r="74" s="111" customFormat="1" ht="12.75" x14ac:dyDescent="0.25"/>
    <row r="75" s="111" customFormat="1" ht="12.75" x14ac:dyDescent="0.25"/>
    <row r="76" s="111" customFormat="1" ht="12.75" x14ac:dyDescent="0.25"/>
    <row r="77" s="111" customFormat="1" ht="12.75" x14ac:dyDescent="0.25"/>
    <row r="78" s="111" customFormat="1" ht="12.75" x14ac:dyDescent="0.25"/>
    <row r="79" s="111" customFormat="1" ht="12.75" x14ac:dyDescent="0.25"/>
    <row r="80" s="111" customFormat="1" ht="12.75" x14ac:dyDescent="0.25"/>
    <row r="81" s="111" customFormat="1" ht="12.75" x14ac:dyDescent="0.25"/>
    <row r="82" s="111" customFormat="1" ht="12.75" x14ac:dyDescent="0.25"/>
    <row r="83" s="111" customFormat="1" ht="12.75" x14ac:dyDescent="0.25"/>
    <row r="84" s="111" customFormat="1" ht="12.75" x14ac:dyDescent="0.25"/>
    <row r="85" s="111" customFormat="1" ht="12.75" x14ac:dyDescent="0.25"/>
    <row r="86" s="111" customFormat="1" ht="12.75" x14ac:dyDescent="0.25"/>
    <row r="87" s="111" customFormat="1" ht="12.75" x14ac:dyDescent="0.25"/>
    <row r="88" s="111" customFormat="1" ht="12.75" x14ac:dyDescent="0.25"/>
    <row r="89" s="111" customFormat="1" ht="12.75" x14ac:dyDescent="0.25"/>
    <row r="90" s="111" customFormat="1" ht="12.75" x14ac:dyDescent="0.25"/>
    <row r="91" s="111" customFormat="1" ht="12.75" x14ac:dyDescent="0.25"/>
    <row r="92" s="111" customFormat="1" ht="12.75" x14ac:dyDescent="0.25"/>
    <row r="93" s="111" customFormat="1" ht="12.75" x14ac:dyDescent="0.25"/>
    <row r="94" s="111" customFormat="1" ht="12.75" x14ac:dyDescent="0.25"/>
    <row r="95" s="111" customFormat="1" ht="12.75" x14ac:dyDescent="0.25"/>
    <row r="96" s="111" customFormat="1" ht="12.75" x14ac:dyDescent="0.25"/>
    <row r="97" s="111" customFormat="1" ht="12.75" x14ac:dyDescent="0.25"/>
    <row r="98" s="111" customFormat="1" ht="12.75" x14ac:dyDescent="0.25"/>
    <row r="99" s="111" customFormat="1" ht="12.75" x14ac:dyDescent="0.25"/>
    <row r="100" s="111" customFormat="1" ht="12.75" x14ac:dyDescent="0.25"/>
    <row r="101" s="111" customFormat="1" ht="12.75" x14ac:dyDescent="0.25"/>
    <row r="102" s="111" customFormat="1" ht="12.75" x14ac:dyDescent="0.25"/>
    <row r="103" s="111" customFormat="1" ht="12.75" x14ac:dyDescent="0.25"/>
    <row r="104" s="111" customFormat="1" ht="12.75" x14ac:dyDescent="0.25"/>
    <row r="105" s="111" customFormat="1" ht="12.75" x14ac:dyDescent="0.25"/>
    <row r="106" s="111" customFormat="1" ht="12.75" x14ac:dyDescent="0.25"/>
    <row r="107" s="111" customFormat="1" ht="12.75" x14ac:dyDescent="0.25"/>
    <row r="108" s="111" customFormat="1" ht="12.75" x14ac:dyDescent="0.25"/>
    <row r="109" s="111" customFormat="1" ht="12.75" x14ac:dyDescent="0.25"/>
    <row r="110" s="111" customFormat="1" ht="12.75" x14ac:dyDescent="0.25"/>
    <row r="111" s="111" customFormat="1" ht="12.75" x14ac:dyDescent="0.25"/>
    <row r="112" s="111" customFormat="1" ht="12.75" x14ac:dyDescent="0.25"/>
    <row r="113" s="111" customFormat="1" ht="12.75" x14ac:dyDescent="0.25"/>
    <row r="114" s="111" customFormat="1" ht="12.75" x14ac:dyDescent="0.25"/>
    <row r="115" s="111" customFormat="1" ht="12.75" x14ac:dyDescent="0.25"/>
    <row r="116" s="111" customFormat="1" ht="12.75" x14ac:dyDescent="0.25"/>
    <row r="117" s="111" customFormat="1" ht="12.75" x14ac:dyDescent="0.25"/>
    <row r="118" s="111" customFormat="1" ht="12.75" x14ac:dyDescent="0.25"/>
    <row r="119" s="111" customFormat="1" ht="12.75" x14ac:dyDescent="0.25"/>
    <row r="120" s="111" customFormat="1" ht="12.75" x14ac:dyDescent="0.25"/>
    <row r="121" s="111" customFormat="1" ht="12.75" x14ac:dyDescent="0.25"/>
    <row r="122" s="111" customFormat="1" ht="12.75" x14ac:dyDescent="0.25"/>
    <row r="123" s="111" customFormat="1" ht="12.75" x14ac:dyDescent="0.25"/>
    <row r="124" s="111" customFormat="1" ht="12.75" x14ac:dyDescent="0.25"/>
    <row r="125" s="111" customFormat="1" ht="12.75" x14ac:dyDescent="0.25"/>
    <row r="126" s="111" customFormat="1" ht="12.75" x14ac:dyDescent="0.25"/>
    <row r="127" s="111" customFormat="1" ht="12.75" x14ac:dyDescent="0.25"/>
    <row r="128" s="111" customFormat="1" ht="12.75" x14ac:dyDescent="0.25"/>
    <row r="129" s="111" customFormat="1" ht="12.75" x14ac:dyDescent="0.25"/>
    <row r="130" s="111" customFormat="1" ht="12.75" x14ac:dyDescent="0.25"/>
    <row r="131" s="111" customFormat="1" ht="12.75" x14ac:dyDescent="0.25"/>
    <row r="132" s="111" customFormat="1" ht="12.75" x14ac:dyDescent="0.25"/>
    <row r="133" s="111" customFormat="1" ht="12.75" x14ac:dyDescent="0.25"/>
    <row r="134" s="111" customFormat="1" ht="12.75" x14ac:dyDescent="0.25"/>
    <row r="135" s="111" customFormat="1" ht="12.75" x14ac:dyDescent="0.25"/>
    <row r="136" s="111" customFormat="1" ht="12.75" x14ac:dyDescent="0.25"/>
    <row r="137" s="111" customFormat="1" ht="12.75" x14ac:dyDescent="0.25"/>
    <row r="138" s="111" customFormat="1" ht="12.75" x14ac:dyDescent="0.25"/>
    <row r="139" s="111" customFormat="1" ht="12.75" x14ac:dyDescent="0.25"/>
    <row r="140" s="111" customFormat="1" ht="12.75" x14ac:dyDescent="0.25"/>
    <row r="141" s="111" customFormat="1" ht="12.75" x14ac:dyDescent="0.25"/>
    <row r="142" s="111" customFormat="1" ht="12.75" x14ac:dyDescent="0.25"/>
    <row r="143" s="111" customFormat="1" ht="12.75" x14ac:dyDescent="0.25"/>
    <row r="144" s="111" customFormat="1" ht="12.75" x14ac:dyDescent="0.25"/>
    <row r="145" s="111" customFormat="1" ht="12.75" x14ac:dyDescent="0.25"/>
    <row r="146" s="111" customFormat="1" ht="12.75" x14ac:dyDescent="0.25"/>
    <row r="147" s="111" customFormat="1" ht="12.75" x14ac:dyDescent="0.25"/>
    <row r="148" s="111" customFormat="1" ht="12.75" x14ac:dyDescent="0.25"/>
    <row r="149" s="111" customFormat="1" ht="12.75" x14ac:dyDescent="0.25"/>
    <row r="150" s="111" customFormat="1" ht="12.75" x14ac:dyDescent="0.25"/>
    <row r="151" s="111" customFormat="1" ht="12.75" x14ac:dyDescent="0.25"/>
    <row r="152" s="111" customFormat="1" ht="12.75" x14ac:dyDescent="0.25"/>
    <row r="153" s="111" customFormat="1" ht="12.75" x14ac:dyDescent="0.25"/>
    <row r="154" s="111" customFormat="1" ht="12.75" x14ac:dyDescent="0.25"/>
    <row r="155" s="111" customFormat="1" ht="12.75" x14ac:dyDescent="0.25"/>
    <row r="156" s="111" customFormat="1" ht="12.75" x14ac:dyDescent="0.25"/>
    <row r="157" s="111" customFormat="1" ht="12.75" x14ac:dyDescent="0.25"/>
    <row r="158" s="111" customFormat="1" ht="12.75" x14ac:dyDescent="0.25"/>
    <row r="159" s="111" customFormat="1" ht="12.75" x14ac:dyDescent="0.25"/>
    <row r="160" s="111" customFormat="1" ht="12.75" x14ac:dyDescent="0.25"/>
    <row r="161" s="111" customFormat="1" ht="12.75" x14ac:dyDescent="0.25"/>
    <row r="162" s="111" customFormat="1" ht="12.75" x14ac:dyDescent="0.25"/>
    <row r="163" s="111" customFormat="1" ht="12.75" x14ac:dyDescent="0.25"/>
    <row r="164" s="111" customFormat="1" ht="12.75" x14ac:dyDescent="0.25"/>
    <row r="165" s="111" customFormat="1" ht="12.75" x14ac:dyDescent="0.25"/>
    <row r="166" s="111" customFormat="1" ht="12.75" x14ac:dyDescent="0.25"/>
    <row r="167" s="111" customFormat="1" ht="12.75" x14ac:dyDescent="0.25"/>
    <row r="168" s="111" customFormat="1" ht="12.75" x14ac:dyDescent="0.25"/>
    <row r="169" s="111" customFormat="1" ht="12.75" x14ac:dyDescent="0.25"/>
    <row r="170" s="111" customFormat="1" ht="12.75" x14ac:dyDescent="0.25"/>
    <row r="171" s="111" customFormat="1" ht="12.75" x14ac:dyDescent="0.25"/>
    <row r="172" s="111" customFormat="1" ht="12.75" x14ac:dyDescent="0.25"/>
    <row r="173" s="111" customFormat="1" ht="12.75" x14ac:dyDescent="0.25"/>
    <row r="174" s="111" customFormat="1" ht="12.75" x14ac:dyDescent="0.25"/>
    <row r="175" s="111" customFormat="1" ht="12.75" x14ac:dyDescent="0.25"/>
    <row r="176" s="111" customFormat="1" ht="12.75" x14ac:dyDescent="0.25"/>
    <row r="177" s="111" customFormat="1" ht="12.75" x14ac:dyDescent="0.25"/>
    <row r="178" s="111" customFormat="1" ht="12.75" x14ac:dyDescent="0.25"/>
    <row r="179" s="111" customFormat="1" ht="12.75" x14ac:dyDescent="0.25"/>
    <row r="180" s="111" customFormat="1" ht="12.75" x14ac:dyDescent="0.25"/>
    <row r="181" s="111" customFormat="1" ht="12.75" x14ac:dyDescent="0.25"/>
    <row r="182" s="111" customFormat="1" ht="12.75" x14ac:dyDescent="0.25"/>
    <row r="183" s="111" customFormat="1" ht="12.75" x14ac:dyDescent="0.25"/>
    <row r="184" s="111" customFormat="1" ht="12.75" x14ac:dyDescent="0.25"/>
    <row r="185" s="111" customFormat="1" ht="12.75" x14ac:dyDescent="0.25"/>
    <row r="186" s="111" customFormat="1" ht="12.75" x14ac:dyDescent="0.25"/>
    <row r="187" s="111" customFormat="1" ht="12.75" x14ac:dyDescent="0.25"/>
    <row r="188" s="111" customFormat="1" ht="12.75" x14ac:dyDescent="0.25"/>
    <row r="189" s="111" customFormat="1" ht="12.75" x14ac:dyDescent="0.25"/>
    <row r="190" s="111" customFormat="1" ht="12.75" x14ac:dyDescent="0.25"/>
    <row r="191" s="111" customFormat="1" ht="12.75" x14ac:dyDescent="0.25"/>
    <row r="192" s="111" customFormat="1" ht="12.75" x14ac:dyDescent="0.25"/>
    <row r="193" s="111" customFormat="1" ht="12.75" x14ac:dyDescent="0.25"/>
    <row r="194" s="111" customFormat="1" ht="12.75" x14ac:dyDescent="0.25"/>
    <row r="195" s="111" customFormat="1" ht="12.75" x14ac:dyDescent="0.25"/>
    <row r="196" s="111" customFormat="1" ht="12.75" x14ac:dyDescent="0.25"/>
    <row r="197" s="111" customFormat="1" ht="12.75" x14ac:dyDescent="0.25"/>
    <row r="198" s="111" customFormat="1" ht="12.75" x14ac:dyDescent="0.25"/>
    <row r="199" s="111" customFormat="1" ht="12.75" x14ac:dyDescent="0.25"/>
    <row r="200" s="111" customFormat="1" ht="12.75" x14ac:dyDescent="0.25"/>
    <row r="201" s="111" customFormat="1" ht="12.75" x14ac:dyDescent="0.25"/>
    <row r="202" s="111" customFormat="1" ht="12.75" x14ac:dyDescent="0.25"/>
    <row r="203" s="111" customFormat="1" ht="12.75" x14ac:dyDescent="0.25"/>
    <row r="204" s="111" customFormat="1" ht="12.75" x14ac:dyDescent="0.25"/>
    <row r="205" s="111" customFormat="1" ht="12.75" x14ac:dyDescent="0.25"/>
    <row r="206" s="111" customFormat="1" ht="12.75" x14ac:dyDescent="0.25"/>
    <row r="207" s="111" customFormat="1" ht="12.75" x14ac:dyDescent="0.25"/>
    <row r="208" s="111" customFormat="1" ht="12.75" x14ac:dyDescent="0.25"/>
    <row r="209" s="111" customFormat="1" ht="12.75" x14ac:dyDescent="0.25"/>
    <row r="210" s="111" customFormat="1" ht="12.75" x14ac:dyDescent="0.25"/>
    <row r="211" s="111" customFormat="1" ht="12.75" x14ac:dyDescent="0.25"/>
    <row r="212" s="111" customFormat="1" ht="12.75" x14ac:dyDescent="0.25"/>
    <row r="213" s="111" customFormat="1" ht="12.75" x14ac:dyDescent="0.25"/>
    <row r="214" s="111" customFormat="1" ht="12.75" x14ac:dyDescent="0.25"/>
    <row r="215" s="111" customFormat="1" ht="12.75" x14ac:dyDescent="0.25"/>
    <row r="216" s="111" customFormat="1" ht="12.75" x14ac:dyDescent="0.25"/>
    <row r="217" s="111" customFormat="1" ht="12.75" x14ac:dyDescent="0.25"/>
    <row r="218" s="111" customFormat="1" ht="12.75" x14ac:dyDescent="0.25"/>
    <row r="219" s="111" customFormat="1" ht="12.75" x14ac:dyDescent="0.25"/>
    <row r="220" s="111" customFormat="1" ht="12.75" x14ac:dyDescent="0.25"/>
    <row r="221" s="111" customFormat="1" ht="12.75" x14ac:dyDescent="0.25"/>
    <row r="222" s="111" customFormat="1" ht="12.75" x14ac:dyDescent="0.25"/>
    <row r="223" s="111" customFormat="1" ht="12.75" x14ac:dyDescent="0.25"/>
    <row r="224" s="111" customFormat="1" ht="12.75" x14ac:dyDescent="0.25"/>
    <row r="225" s="111" customFormat="1" ht="12.75" x14ac:dyDescent="0.25"/>
    <row r="226" s="111" customFormat="1" ht="12.75" x14ac:dyDescent="0.25"/>
    <row r="227" s="111" customFormat="1" ht="12.75" x14ac:dyDescent="0.25"/>
    <row r="228" s="111" customFormat="1" ht="12.75" x14ac:dyDescent="0.25"/>
    <row r="229" s="111" customFormat="1" ht="12.75" x14ac:dyDescent="0.25"/>
    <row r="230" s="111" customFormat="1" ht="12.75" x14ac:dyDescent="0.25"/>
    <row r="231" s="111" customFormat="1" ht="12.75" x14ac:dyDescent="0.25"/>
    <row r="232" s="111" customFormat="1" ht="12.75" x14ac:dyDescent="0.25"/>
    <row r="233" s="111" customFormat="1" ht="12.75" x14ac:dyDescent="0.25"/>
    <row r="234" s="111" customFormat="1" ht="12.75" x14ac:dyDescent="0.25"/>
    <row r="235" s="111" customFormat="1" ht="12.75" x14ac:dyDescent="0.25"/>
    <row r="236" s="111" customFormat="1" ht="12.75" x14ac:dyDescent="0.25"/>
    <row r="237" s="111" customFormat="1" ht="12.75" x14ac:dyDescent="0.25"/>
    <row r="238" s="111" customFormat="1" ht="12.75" x14ac:dyDescent="0.25"/>
    <row r="239" s="111" customFormat="1" ht="12.75" x14ac:dyDescent="0.25"/>
    <row r="240" s="111" customFormat="1" ht="12.75" x14ac:dyDescent="0.25"/>
    <row r="241" s="111" customFormat="1" ht="12.75" x14ac:dyDescent="0.25"/>
    <row r="242" s="111" customFormat="1" ht="12.75" x14ac:dyDescent="0.25"/>
    <row r="243" s="111" customFormat="1" ht="12.75" x14ac:dyDescent="0.25"/>
    <row r="244" s="111" customFormat="1" ht="12.75" x14ac:dyDescent="0.25"/>
    <row r="245" s="111" customFormat="1" ht="12.75" x14ac:dyDescent="0.25"/>
    <row r="246" s="111" customFormat="1" ht="12.75" x14ac:dyDescent="0.25"/>
    <row r="247" s="111" customFormat="1" ht="12.75" x14ac:dyDescent="0.25"/>
    <row r="248" s="111" customFormat="1" ht="12.75" x14ac:dyDescent="0.25"/>
    <row r="249" s="111" customFormat="1" ht="12.75" x14ac:dyDescent="0.25"/>
    <row r="250" s="111" customFormat="1" ht="12.75" x14ac:dyDescent="0.25"/>
    <row r="251" s="111" customFormat="1" ht="12.75" x14ac:dyDescent="0.25"/>
    <row r="252" s="111" customFormat="1" ht="12.75" x14ac:dyDescent="0.25"/>
    <row r="253" s="111" customFormat="1" ht="12.75" x14ac:dyDescent="0.25"/>
    <row r="254" s="111" customFormat="1" ht="12.75" x14ac:dyDescent="0.25"/>
    <row r="255" s="111" customFormat="1" ht="12.75" x14ac:dyDescent="0.25"/>
    <row r="256" s="111" customFormat="1" ht="12.75" x14ac:dyDescent="0.25"/>
    <row r="257" s="111" customFormat="1" ht="12.75" x14ac:dyDescent="0.25"/>
    <row r="258" s="111" customFormat="1" ht="12.75" x14ac:dyDescent="0.25"/>
    <row r="259" s="111" customFormat="1" ht="12.75" x14ac:dyDescent="0.25"/>
    <row r="260" s="111" customFormat="1" ht="12.75" x14ac:dyDescent="0.25"/>
    <row r="261" s="111" customFormat="1" ht="12.75" x14ac:dyDescent="0.25"/>
    <row r="262" s="111" customFormat="1" ht="12.75" x14ac:dyDescent="0.25"/>
    <row r="263" s="111" customFormat="1" ht="12.75" x14ac:dyDescent="0.25"/>
    <row r="264" s="111" customFormat="1" ht="12.75" x14ac:dyDescent="0.25"/>
    <row r="265" s="111" customFormat="1" ht="12.75" x14ac:dyDescent="0.25"/>
    <row r="266" s="111" customFormat="1" ht="12.75" x14ac:dyDescent="0.25"/>
    <row r="267" s="111" customFormat="1" ht="12.75" x14ac:dyDescent="0.25"/>
    <row r="268" s="111" customFormat="1" ht="12.75" x14ac:dyDescent="0.25"/>
    <row r="269" s="111" customFormat="1" ht="12.75" x14ac:dyDescent="0.25"/>
    <row r="270" s="111" customFormat="1" ht="12.75" x14ac:dyDescent="0.25"/>
    <row r="271" s="111" customFormat="1" ht="12.75" x14ac:dyDescent="0.25"/>
    <row r="272" s="111" customFormat="1" ht="12.75" x14ac:dyDescent="0.25"/>
    <row r="273" s="111" customFormat="1" ht="12.75" x14ac:dyDescent="0.25"/>
    <row r="274" s="111" customFormat="1" ht="12.75" x14ac:dyDescent="0.25"/>
    <row r="275" s="111" customFormat="1" ht="12.75" x14ac:dyDescent="0.25"/>
    <row r="276" s="111" customFormat="1" ht="12.75" x14ac:dyDescent="0.25"/>
    <row r="277" s="111" customFormat="1" ht="12.75" x14ac:dyDescent="0.25"/>
    <row r="278" s="111" customFormat="1" ht="12.75" x14ac:dyDescent="0.25"/>
    <row r="279" s="111" customFormat="1" ht="12.75" x14ac:dyDescent="0.25"/>
    <row r="280" s="111" customFormat="1" ht="12.75" x14ac:dyDescent="0.25"/>
    <row r="281" s="111" customFormat="1" ht="12.75" x14ac:dyDescent="0.25"/>
    <row r="282" s="111" customFormat="1" ht="12.75" x14ac:dyDescent="0.25"/>
    <row r="283" s="111" customFormat="1" ht="12.75" x14ac:dyDescent="0.25"/>
    <row r="284" s="111" customFormat="1" ht="12.75" x14ac:dyDescent="0.25"/>
    <row r="285" s="111" customFormat="1" ht="12.75" x14ac:dyDescent="0.25"/>
    <row r="286" s="111" customFormat="1" ht="12.75" x14ac:dyDescent="0.25"/>
    <row r="287" s="111" customFormat="1" ht="12.75" x14ac:dyDescent="0.25"/>
    <row r="288" s="111" customFormat="1" ht="12.75" x14ac:dyDescent="0.25"/>
    <row r="289" s="111" customFormat="1" ht="12.75" x14ac:dyDescent="0.25"/>
    <row r="290" s="111" customFormat="1" ht="12.75" x14ac:dyDescent="0.25"/>
    <row r="291" s="111" customFormat="1" ht="12.75" x14ac:dyDescent="0.25"/>
    <row r="292" s="111" customFormat="1" ht="12.75" x14ac:dyDescent="0.25"/>
    <row r="293" s="111" customFormat="1" ht="12.75" x14ac:dyDescent="0.25"/>
    <row r="294" s="111" customFormat="1" ht="12.75" x14ac:dyDescent="0.25"/>
    <row r="295" s="111" customFormat="1" ht="12.75" x14ac:dyDescent="0.25"/>
    <row r="296" s="111" customFormat="1" ht="12.75" x14ac:dyDescent="0.25"/>
    <row r="297" s="111" customFormat="1" ht="12.75" x14ac:dyDescent="0.25"/>
    <row r="298" s="111" customFormat="1" ht="12.75" x14ac:dyDescent="0.25"/>
    <row r="299" s="111" customFormat="1" ht="12.75" x14ac:dyDescent="0.25"/>
    <row r="300" s="111" customFormat="1" ht="12.75" x14ac:dyDescent="0.25"/>
    <row r="301" s="111" customFormat="1" ht="12.75" x14ac:dyDescent="0.25"/>
    <row r="302" s="111" customFormat="1" ht="12.75" x14ac:dyDescent="0.25"/>
    <row r="303" s="111" customFormat="1" ht="12.75" x14ac:dyDescent="0.25"/>
    <row r="304" s="111" customFormat="1" ht="12.75" x14ac:dyDescent="0.25"/>
    <row r="305" s="111" customFormat="1" ht="12.75" x14ac:dyDescent="0.25"/>
    <row r="306" s="111" customFormat="1" ht="12.75" x14ac:dyDescent="0.25"/>
    <row r="307" s="111" customFormat="1" ht="12.75" x14ac:dyDescent="0.25"/>
    <row r="308" s="111" customFormat="1" ht="12.75" x14ac:dyDescent="0.25"/>
    <row r="309" s="111" customFormat="1" ht="12.75" x14ac:dyDescent="0.25"/>
    <row r="310" s="111" customFormat="1" ht="12.75" x14ac:dyDescent="0.25"/>
    <row r="311" s="111" customFormat="1" ht="12.75" x14ac:dyDescent="0.25"/>
    <row r="312" s="111" customFormat="1" ht="12.75" x14ac:dyDescent="0.25"/>
    <row r="313" s="111" customFormat="1" ht="12.75" x14ac:dyDescent="0.25"/>
    <row r="314" s="111" customFormat="1" ht="12.75" x14ac:dyDescent="0.25"/>
    <row r="315" s="111" customFormat="1" ht="12.75" x14ac:dyDescent="0.25"/>
    <row r="316" s="111" customFormat="1" ht="12.75" x14ac:dyDescent="0.25"/>
    <row r="317" s="111" customFormat="1" ht="12.75" x14ac:dyDescent="0.25"/>
    <row r="318" s="111" customFormat="1" ht="12.75" x14ac:dyDescent="0.25"/>
    <row r="319" s="111" customFormat="1" ht="12.75" x14ac:dyDescent="0.25"/>
    <row r="320" s="111" customFormat="1" ht="12.75" x14ac:dyDescent="0.25"/>
    <row r="321" s="111" customFormat="1" ht="12.75" x14ac:dyDescent="0.25"/>
    <row r="322" s="111" customFormat="1" ht="12.75" x14ac:dyDescent="0.25"/>
    <row r="323" s="111" customFormat="1" ht="12.75" x14ac:dyDescent="0.25"/>
    <row r="324" s="111" customFormat="1" ht="12.75" x14ac:dyDescent="0.25"/>
    <row r="325" s="111" customFormat="1" ht="12.75" x14ac:dyDescent="0.25"/>
    <row r="326" s="111" customFormat="1" ht="12.75" x14ac:dyDescent="0.25"/>
    <row r="327" s="111" customFormat="1" ht="12.75" x14ac:dyDescent="0.25"/>
    <row r="328" s="111" customFormat="1" ht="12.75" x14ac:dyDescent="0.25"/>
    <row r="329" s="111" customFormat="1" ht="12.75" x14ac:dyDescent="0.25"/>
    <row r="330" s="111" customFormat="1" ht="12.75" x14ac:dyDescent="0.25"/>
    <row r="331" s="111" customFormat="1" ht="12.75" x14ac:dyDescent="0.25"/>
    <row r="332" s="111" customFormat="1" ht="12.75" x14ac:dyDescent="0.25"/>
    <row r="333" s="111" customFormat="1" ht="12.75" x14ac:dyDescent="0.25"/>
    <row r="334" s="111" customFormat="1" ht="12.75" x14ac:dyDescent="0.25"/>
    <row r="335" s="111" customFormat="1" ht="12.75" x14ac:dyDescent="0.25"/>
    <row r="336" s="111" customFormat="1" ht="12.75" x14ac:dyDescent="0.25"/>
    <row r="337" s="111" customFormat="1" ht="12.75" x14ac:dyDescent="0.25"/>
    <row r="338" s="111" customFormat="1" ht="12.75" x14ac:dyDescent="0.25"/>
    <row r="339" s="111" customFormat="1" ht="12.75" x14ac:dyDescent="0.25"/>
    <row r="340" s="111" customFormat="1" ht="12.75" x14ac:dyDescent="0.25"/>
  </sheetData>
  <mergeCells count="1">
    <mergeCell ref="A1:C1"/>
  </mergeCells>
  <printOptions horizontalCentered="1"/>
  <pageMargins left="0.78740157480314965" right="0.59055118110236227" top="0.78740157480314965" bottom="0.39370078740157483" header="0.31496062992125984" footer="0.31496062992125984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B8A66-294C-4032-91A1-D8E2825D0D48}">
  <sheetPr>
    <tabColor rgb="FF00B050"/>
    <pageSetUpPr fitToPage="1"/>
  </sheetPr>
  <dimension ref="A1:BQ447"/>
  <sheetViews>
    <sheetView showZeros="0" topLeftCell="A11" zoomScale="90" zoomScaleNormal="90" workbookViewId="0">
      <selection activeCell="F40" sqref="F15:P40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7" width="8.28515625" style="4" customWidth="1"/>
    <col min="8" max="15" width="10.7109375" style="4" customWidth="1"/>
    <col min="16" max="16" width="13.28515625" style="4" customWidth="1"/>
    <col min="17" max="19" width="5.7109375" style="195" customWidth="1" outlineLevel="1"/>
    <col min="20" max="22" width="10.7109375" style="90" customWidth="1" outlineLevel="1"/>
    <col min="23" max="45" width="10.7109375" style="90" customWidth="1"/>
    <col min="46" max="66" width="8.85546875" style="54"/>
    <col min="67" max="16384" width="8.85546875" style="4"/>
  </cols>
  <sheetData>
    <row r="1" spans="1:69" ht="15" x14ac:dyDescent="0.2">
      <c r="A1" s="408" t="s">
        <v>499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69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69" ht="15" x14ac:dyDescent="0.2">
      <c r="A3" s="409" t="str">
        <f>Kopsavilkums!C22</f>
        <v>Pārseguma konstrukcija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4" spans="1:69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</row>
    <row r="5" spans="1:69" x14ac:dyDescent="0.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69" x14ac:dyDescent="0.2">
      <c r="A6" s="1" t="s">
        <v>64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69" x14ac:dyDescent="0.2">
      <c r="A7" s="1" t="s">
        <v>65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69" x14ac:dyDescent="0.2">
      <c r="A8" s="2" t="s">
        <v>66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69" x14ac:dyDescent="0.2">
      <c r="A9" s="1" t="s">
        <v>54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0</v>
      </c>
      <c r="P9" s="18">
        <f>P41</f>
        <v>0</v>
      </c>
    </row>
    <row r="10" spans="1:69" ht="4.9000000000000004" customHeight="1" x14ac:dyDescent="0.2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69" x14ac:dyDescent="0.2">
      <c r="A11" s="107" t="s">
        <v>67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 xml:space="preserve">Tāme sastādīta: </v>
      </c>
    </row>
    <row r="12" spans="1:69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69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</v>
      </c>
      <c r="E13" s="418" t="s">
        <v>5</v>
      </c>
      <c r="F13" s="412" t="s">
        <v>6</v>
      </c>
      <c r="G13" s="420" t="s">
        <v>19</v>
      </c>
      <c r="H13" s="404" t="s">
        <v>7</v>
      </c>
      <c r="I13" s="405"/>
      <c r="J13" s="405"/>
      <c r="K13" s="406"/>
      <c r="L13" s="405" t="s">
        <v>8</v>
      </c>
      <c r="M13" s="405"/>
      <c r="N13" s="405"/>
      <c r="O13" s="405"/>
      <c r="P13" s="406"/>
      <c r="Q13" s="403"/>
      <c r="R13" s="403"/>
      <c r="S13" s="403"/>
    </row>
    <row r="14" spans="1:69" ht="34.9" customHeight="1" thickBot="1" x14ac:dyDescent="0.25">
      <c r="A14" s="413"/>
      <c r="B14" s="415"/>
      <c r="C14" s="415"/>
      <c r="D14" s="417"/>
      <c r="E14" s="419"/>
      <c r="F14" s="413"/>
      <c r="G14" s="421"/>
      <c r="H14" s="56" t="s">
        <v>17</v>
      </c>
      <c r="I14" s="60" t="s">
        <v>16</v>
      </c>
      <c r="J14" s="57" t="s">
        <v>15</v>
      </c>
      <c r="K14" s="58" t="s">
        <v>18</v>
      </c>
      <c r="L14" s="58" t="s">
        <v>9</v>
      </c>
      <c r="M14" s="56" t="s">
        <v>17</v>
      </c>
      <c r="N14" s="60" t="s">
        <v>16</v>
      </c>
      <c r="O14" s="57" t="s">
        <v>15</v>
      </c>
      <c r="P14" s="59" t="s">
        <v>14</v>
      </c>
      <c r="Q14" s="196"/>
      <c r="R14" s="196"/>
      <c r="S14" s="196"/>
    </row>
    <row r="15" spans="1:69" x14ac:dyDescent="0.2">
      <c r="A15" s="333"/>
      <c r="B15" s="138"/>
      <c r="C15" s="177" t="str">
        <f>A3</f>
        <v>Pārseguma konstrukcija</v>
      </c>
      <c r="D15" s="139"/>
      <c r="E15" s="140"/>
      <c r="F15" s="119"/>
      <c r="G15" s="61"/>
      <c r="H15" s="26"/>
      <c r="I15" s="27"/>
      <c r="J15" s="27"/>
      <c r="K15" s="25"/>
      <c r="L15" s="25"/>
      <c r="M15" s="26"/>
      <c r="N15" s="27"/>
      <c r="O15" s="28"/>
      <c r="P15" s="29"/>
    </row>
    <row r="16" spans="1:69" s="184" customFormat="1" ht="11.25" x14ac:dyDescent="0.15">
      <c r="A16" s="334"/>
      <c r="B16" s="186"/>
      <c r="C16" s="178" t="s">
        <v>413</v>
      </c>
      <c r="D16" s="178" t="s">
        <v>43</v>
      </c>
      <c r="E16" s="191">
        <v>63</v>
      </c>
      <c r="F16" s="26"/>
      <c r="G16" s="61"/>
      <c r="H16" s="26"/>
      <c r="I16" s="27"/>
      <c r="J16" s="27"/>
      <c r="K16" s="25"/>
      <c r="L16" s="25"/>
      <c r="M16" s="26"/>
      <c r="N16" s="27"/>
      <c r="O16" s="28"/>
      <c r="P16" s="29"/>
      <c r="Q16" s="195"/>
      <c r="R16" s="195"/>
      <c r="S16" s="195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</row>
    <row r="17" spans="1:69" s="184" customFormat="1" ht="11.25" x14ac:dyDescent="0.15">
      <c r="A17" s="334" t="s">
        <v>34</v>
      </c>
      <c r="B17" s="176"/>
      <c r="C17" s="179" t="s">
        <v>324</v>
      </c>
      <c r="D17" s="180" t="s">
        <v>43</v>
      </c>
      <c r="E17" s="181">
        <f>E16</f>
        <v>63</v>
      </c>
      <c r="F17" s="26"/>
      <c r="G17" s="61"/>
      <c r="H17" s="26"/>
      <c r="I17" s="27"/>
      <c r="J17" s="27"/>
      <c r="K17" s="25"/>
      <c r="L17" s="25"/>
      <c r="M17" s="26"/>
      <c r="N17" s="27"/>
      <c r="O17" s="28"/>
      <c r="P17" s="29"/>
      <c r="Q17" s="195"/>
      <c r="R17" s="195"/>
      <c r="S17" s="195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</row>
    <row r="18" spans="1:69" s="184" customFormat="1" ht="11.25" x14ac:dyDescent="0.15">
      <c r="A18" s="334"/>
      <c r="B18" s="186"/>
      <c r="C18" s="185" t="s">
        <v>325</v>
      </c>
      <c r="D18" s="180" t="s">
        <v>42</v>
      </c>
      <c r="E18" s="267">
        <f>ROUND(0.15*1.1,3)</f>
        <v>0.16500000000000001</v>
      </c>
      <c r="F18" s="26"/>
      <c r="G18" s="61"/>
      <c r="H18" s="26"/>
      <c r="I18" s="27"/>
      <c r="J18" s="27"/>
      <c r="K18" s="25"/>
      <c r="L18" s="25"/>
      <c r="M18" s="26"/>
      <c r="N18" s="27"/>
      <c r="O18" s="28"/>
      <c r="P18" s="29"/>
      <c r="Q18" s="195"/>
      <c r="R18" s="195"/>
      <c r="S18" s="195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</row>
    <row r="19" spans="1:69" s="184" customFormat="1" ht="11.25" x14ac:dyDescent="0.15">
      <c r="A19" s="334"/>
      <c r="B19" s="186"/>
      <c r="C19" s="185" t="s">
        <v>326</v>
      </c>
      <c r="D19" s="180" t="s">
        <v>42</v>
      </c>
      <c r="E19" s="267">
        <f>ROUND(1.2*1.1,3)</f>
        <v>1.32</v>
      </c>
      <c r="F19" s="26"/>
      <c r="G19" s="61"/>
      <c r="H19" s="26"/>
      <c r="I19" s="27"/>
      <c r="J19" s="27"/>
      <c r="K19" s="25"/>
      <c r="L19" s="25"/>
      <c r="M19" s="26"/>
      <c r="N19" s="27"/>
      <c r="O19" s="28"/>
      <c r="P19" s="29"/>
      <c r="Q19" s="195"/>
      <c r="R19" s="195"/>
      <c r="S19" s="195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</row>
    <row r="20" spans="1:69" s="184" customFormat="1" ht="33.75" x14ac:dyDescent="0.15">
      <c r="A20" s="334"/>
      <c r="B20" s="186"/>
      <c r="C20" s="185" t="s">
        <v>300</v>
      </c>
      <c r="D20" s="180" t="s">
        <v>48</v>
      </c>
      <c r="E20" s="181">
        <v>1</v>
      </c>
      <c r="F20" s="26"/>
      <c r="G20" s="61"/>
      <c r="H20" s="26"/>
      <c r="I20" s="27"/>
      <c r="J20" s="27"/>
      <c r="K20" s="25"/>
      <c r="L20" s="25"/>
      <c r="M20" s="26"/>
      <c r="N20" s="27"/>
      <c r="O20" s="28"/>
      <c r="P20" s="29"/>
      <c r="Q20" s="195"/>
      <c r="R20" s="195"/>
      <c r="S20" s="195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</row>
    <row r="21" spans="1:69" s="184" customFormat="1" ht="33.75" x14ac:dyDescent="0.15">
      <c r="A21" s="334" t="s">
        <v>35</v>
      </c>
      <c r="B21" s="186"/>
      <c r="C21" s="238" t="s">
        <v>406</v>
      </c>
      <c r="D21" s="180" t="s">
        <v>43</v>
      </c>
      <c r="E21" s="181">
        <f>E17</f>
        <v>63</v>
      </c>
      <c r="F21" s="26"/>
      <c r="G21" s="61"/>
      <c r="H21" s="26"/>
      <c r="I21" s="27"/>
      <c r="J21" s="27"/>
      <c r="K21" s="25"/>
      <c r="L21" s="25"/>
      <c r="M21" s="26"/>
      <c r="N21" s="27"/>
      <c r="O21" s="28"/>
      <c r="P21" s="29"/>
      <c r="Q21" s="195"/>
      <c r="R21" s="195"/>
      <c r="S21" s="195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</row>
    <row r="22" spans="1:69" s="184" customFormat="1" ht="11.25" x14ac:dyDescent="0.15">
      <c r="A22" s="334"/>
      <c r="B22" s="186"/>
      <c r="C22" s="239" t="s">
        <v>407</v>
      </c>
      <c r="D22" s="209" t="s">
        <v>42</v>
      </c>
      <c r="E22" s="181">
        <f>ROUND(E21/0.3*0.025*0.1*1.2,3)</f>
        <v>0.63</v>
      </c>
      <c r="F22" s="26"/>
      <c r="G22" s="61"/>
      <c r="H22" s="26"/>
      <c r="I22" s="27"/>
      <c r="J22" s="27"/>
      <c r="K22" s="25"/>
      <c r="L22" s="25"/>
      <c r="M22" s="26"/>
      <c r="N22" s="27"/>
      <c r="O22" s="28"/>
      <c r="P22" s="29"/>
      <c r="Q22" s="195"/>
      <c r="R22" s="195"/>
      <c r="S22" s="195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</row>
    <row r="23" spans="1:69" s="184" customFormat="1" ht="33.75" x14ac:dyDescent="0.15">
      <c r="A23" s="334"/>
      <c r="B23" s="186"/>
      <c r="C23" s="239" t="s">
        <v>402</v>
      </c>
      <c r="D23" s="209" t="s">
        <v>403</v>
      </c>
      <c r="E23" s="269">
        <f>ROUND(E22/(0.025*0.1)*4/100,2)</f>
        <v>10.08</v>
      </c>
      <c r="F23" s="26"/>
      <c r="G23" s="61"/>
      <c r="H23" s="26"/>
      <c r="I23" s="27"/>
      <c r="J23" s="27"/>
      <c r="K23" s="25"/>
      <c r="L23" s="25"/>
      <c r="M23" s="26"/>
      <c r="N23" s="27"/>
      <c r="O23" s="28"/>
      <c r="P23" s="29"/>
      <c r="Q23" s="195"/>
      <c r="R23" s="195"/>
      <c r="S23" s="195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</row>
    <row r="24" spans="1:69" s="184" customFormat="1" ht="56.25" x14ac:dyDescent="0.15">
      <c r="A24" s="334" t="s">
        <v>36</v>
      </c>
      <c r="B24" s="176"/>
      <c r="C24" s="206" t="s">
        <v>399</v>
      </c>
      <c r="D24" s="180" t="s">
        <v>43</v>
      </c>
      <c r="E24" s="181">
        <f>E21</f>
        <v>63</v>
      </c>
      <c r="F24" s="26"/>
      <c r="G24" s="61"/>
      <c r="H24" s="26"/>
      <c r="I24" s="27"/>
      <c r="J24" s="27"/>
      <c r="K24" s="25"/>
      <c r="L24" s="25"/>
      <c r="M24" s="26"/>
      <c r="N24" s="27"/>
      <c r="O24" s="28"/>
      <c r="P24" s="29"/>
      <c r="Q24" s="195"/>
      <c r="R24" s="195"/>
      <c r="S24" s="195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</row>
    <row r="25" spans="1:69" s="184" customFormat="1" ht="22.5" x14ac:dyDescent="0.15">
      <c r="A25" s="334"/>
      <c r="B25" s="186"/>
      <c r="C25" s="185" t="s">
        <v>400</v>
      </c>
      <c r="D25" s="180" t="s">
        <v>43</v>
      </c>
      <c r="E25" s="181">
        <f>ROUND(E24*1.15,2)</f>
        <v>72.45</v>
      </c>
      <c r="F25" s="26"/>
      <c r="G25" s="61"/>
      <c r="H25" s="26"/>
      <c r="I25" s="27"/>
      <c r="J25" s="27"/>
      <c r="K25" s="25"/>
      <c r="L25" s="25"/>
      <c r="M25" s="26"/>
      <c r="N25" s="27"/>
      <c r="O25" s="28"/>
      <c r="P25" s="29"/>
      <c r="Q25" s="195"/>
      <c r="R25" s="195"/>
      <c r="S25" s="195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</row>
    <row r="26" spans="1:69" s="184" customFormat="1" ht="33.75" x14ac:dyDescent="0.15">
      <c r="A26" s="334"/>
      <c r="B26" s="176"/>
      <c r="C26" s="185" t="s">
        <v>401</v>
      </c>
      <c r="D26" s="180" t="s">
        <v>259</v>
      </c>
      <c r="E26" s="181">
        <f>ROUND(E25/1.5,2)</f>
        <v>48.3</v>
      </c>
      <c r="F26" s="26"/>
      <c r="G26" s="61"/>
      <c r="H26" s="26"/>
      <c r="I26" s="27"/>
      <c r="J26" s="27"/>
      <c r="K26" s="25"/>
      <c r="L26" s="25"/>
      <c r="M26" s="26"/>
      <c r="N26" s="27"/>
      <c r="O26" s="28"/>
      <c r="P26" s="29"/>
      <c r="Q26" s="195"/>
      <c r="R26" s="195"/>
      <c r="S26" s="195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</row>
    <row r="27" spans="1:69" s="184" customFormat="1" ht="33.75" x14ac:dyDescent="0.15">
      <c r="A27" s="334" t="s">
        <v>37</v>
      </c>
      <c r="B27" s="186"/>
      <c r="C27" s="238" t="s">
        <v>408</v>
      </c>
      <c r="D27" s="180" t="s">
        <v>43</v>
      </c>
      <c r="E27" s="181">
        <f>E24</f>
        <v>63</v>
      </c>
      <c r="F27" s="26"/>
      <c r="G27" s="61"/>
      <c r="H27" s="26"/>
      <c r="I27" s="27"/>
      <c r="J27" s="27"/>
      <c r="K27" s="25"/>
      <c r="L27" s="25"/>
      <c r="M27" s="26"/>
      <c r="N27" s="27"/>
      <c r="O27" s="28"/>
      <c r="P27" s="29"/>
      <c r="Q27" s="195"/>
      <c r="R27" s="195"/>
      <c r="S27" s="195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</row>
    <row r="28" spans="1:69" s="184" customFormat="1" ht="11.25" x14ac:dyDescent="0.15">
      <c r="A28" s="334"/>
      <c r="B28" s="186"/>
      <c r="C28" s="239" t="s">
        <v>404</v>
      </c>
      <c r="D28" s="209" t="s">
        <v>42</v>
      </c>
      <c r="E28" s="181">
        <f>ROUND(E27/0.6*0.035*0.05*1.2,3)</f>
        <v>0.221</v>
      </c>
      <c r="F28" s="26"/>
      <c r="G28" s="61"/>
      <c r="H28" s="26"/>
      <c r="I28" s="27"/>
      <c r="J28" s="27"/>
      <c r="K28" s="25"/>
      <c r="L28" s="25"/>
      <c r="M28" s="26"/>
      <c r="N28" s="27"/>
      <c r="O28" s="28"/>
      <c r="P28" s="29"/>
      <c r="Q28" s="195"/>
      <c r="R28" s="195"/>
      <c r="S28" s="195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</row>
    <row r="29" spans="1:69" s="184" customFormat="1" ht="33.75" x14ac:dyDescent="0.15">
      <c r="A29" s="334"/>
      <c r="B29" s="186"/>
      <c r="C29" s="239" t="s">
        <v>402</v>
      </c>
      <c r="D29" s="209" t="s">
        <v>403</v>
      </c>
      <c r="E29" s="269">
        <f>ROUND(E28/(0.035*0.05)*4/100,2)</f>
        <v>5.05</v>
      </c>
      <c r="F29" s="26"/>
      <c r="G29" s="61"/>
      <c r="H29" s="26"/>
      <c r="I29" s="27"/>
      <c r="J29" s="27"/>
      <c r="K29" s="25"/>
      <c r="L29" s="25"/>
      <c r="M29" s="26"/>
      <c r="N29" s="27"/>
      <c r="O29" s="28"/>
      <c r="P29" s="29"/>
      <c r="Q29" s="195"/>
      <c r="R29" s="195"/>
      <c r="S29" s="195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</row>
    <row r="30" spans="1:69" s="184" customFormat="1" ht="33.75" x14ac:dyDescent="0.15">
      <c r="A30" s="334" t="s">
        <v>38</v>
      </c>
      <c r="B30" s="270"/>
      <c r="C30" s="271" t="s">
        <v>584</v>
      </c>
      <c r="D30" s="180" t="s">
        <v>43</v>
      </c>
      <c r="E30" s="181">
        <f>E24</f>
        <v>63</v>
      </c>
      <c r="F30" s="26"/>
      <c r="G30" s="61"/>
      <c r="H30" s="26"/>
      <c r="I30" s="27"/>
      <c r="J30" s="27"/>
      <c r="K30" s="25"/>
      <c r="L30" s="25"/>
      <c r="M30" s="26"/>
      <c r="N30" s="27"/>
      <c r="O30" s="28"/>
      <c r="P30" s="29"/>
      <c r="Q30" s="195"/>
      <c r="R30" s="195"/>
      <c r="S30" s="195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</row>
    <row r="31" spans="1:69" s="184" customFormat="1" ht="33.75" x14ac:dyDescent="0.15">
      <c r="A31" s="334"/>
      <c r="B31" s="256"/>
      <c r="C31" s="185" t="s">
        <v>585</v>
      </c>
      <c r="D31" s="180" t="s">
        <v>43</v>
      </c>
      <c r="E31" s="181">
        <f>ROUND(E30*1.15,2)</f>
        <v>72.45</v>
      </c>
      <c r="F31" s="26"/>
      <c r="G31" s="61"/>
      <c r="H31" s="26"/>
      <c r="I31" s="27"/>
      <c r="J31" s="27"/>
      <c r="K31" s="25"/>
      <c r="L31" s="25"/>
      <c r="M31" s="26"/>
      <c r="N31" s="27"/>
      <c r="O31" s="28"/>
      <c r="P31" s="29"/>
      <c r="Q31" s="195"/>
      <c r="R31" s="195"/>
      <c r="S31" s="195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</row>
    <row r="32" spans="1:69" s="184" customFormat="1" ht="33.75" x14ac:dyDescent="0.15">
      <c r="A32" s="334"/>
      <c r="B32" s="270"/>
      <c r="C32" s="185" t="s">
        <v>411</v>
      </c>
      <c r="D32" s="180" t="s">
        <v>403</v>
      </c>
      <c r="E32" s="181">
        <f>ROUND(E30*25/500,2)</f>
        <v>3.15</v>
      </c>
      <c r="F32" s="26"/>
      <c r="G32" s="61"/>
      <c r="H32" s="26"/>
      <c r="I32" s="27"/>
      <c r="J32" s="27"/>
      <c r="K32" s="25"/>
      <c r="L32" s="25"/>
      <c r="M32" s="26"/>
      <c r="N32" s="27"/>
      <c r="O32" s="28"/>
      <c r="P32" s="29"/>
      <c r="Q32" s="195"/>
      <c r="R32" s="195"/>
      <c r="S32" s="195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</row>
    <row r="33" spans="1:69" s="184" customFormat="1" ht="33.75" x14ac:dyDescent="0.15">
      <c r="A33" s="334" t="s">
        <v>39</v>
      </c>
      <c r="B33" s="186"/>
      <c r="C33" s="179" t="s">
        <v>409</v>
      </c>
      <c r="D33" s="180" t="s">
        <v>43</v>
      </c>
      <c r="E33" s="181">
        <f>E30</f>
        <v>63</v>
      </c>
      <c r="F33" s="26"/>
      <c r="G33" s="61"/>
      <c r="H33" s="26"/>
      <c r="I33" s="27"/>
      <c r="J33" s="27"/>
      <c r="K33" s="25"/>
      <c r="L33" s="25"/>
      <c r="M33" s="26"/>
      <c r="N33" s="27"/>
      <c r="O33" s="28"/>
      <c r="P33" s="29"/>
      <c r="Q33" s="195"/>
      <c r="R33" s="195"/>
      <c r="S33" s="195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</row>
    <row r="34" spans="1:69" s="184" customFormat="1" ht="22.5" x14ac:dyDescent="0.15">
      <c r="A34" s="334"/>
      <c r="B34" s="182"/>
      <c r="C34" s="185" t="s">
        <v>410</v>
      </c>
      <c r="D34" s="180" t="s">
        <v>43</v>
      </c>
      <c r="E34" s="181">
        <f>ROUND(E33*1.15*2,2)</f>
        <v>144.9</v>
      </c>
      <c r="F34" s="26"/>
      <c r="G34" s="61"/>
      <c r="H34" s="26"/>
      <c r="I34" s="27"/>
      <c r="J34" s="27"/>
      <c r="K34" s="25"/>
      <c r="L34" s="25"/>
      <c r="M34" s="26"/>
      <c r="N34" s="27"/>
      <c r="O34" s="28"/>
      <c r="P34" s="29"/>
      <c r="Q34" s="195"/>
      <c r="R34" s="195"/>
      <c r="S34" s="195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</row>
    <row r="35" spans="1:69" s="184" customFormat="1" ht="33.75" x14ac:dyDescent="0.15">
      <c r="A35" s="334" t="s">
        <v>40</v>
      </c>
      <c r="B35" s="186"/>
      <c r="C35" s="238" t="s">
        <v>414</v>
      </c>
      <c r="D35" s="180" t="s">
        <v>43</v>
      </c>
      <c r="E35" s="181">
        <f>E33</f>
        <v>63</v>
      </c>
      <c r="F35" s="26"/>
      <c r="G35" s="61"/>
      <c r="H35" s="26"/>
      <c r="I35" s="27"/>
      <c r="J35" s="27"/>
      <c r="K35" s="25"/>
      <c r="L35" s="25"/>
      <c r="M35" s="26"/>
      <c r="N35" s="27"/>
      <c r="O35" s="28"/>
      <c r="P35" s="29"/>
      <c r="Q35" s="195"/>
      <c r="R35" s="195"/>
      <c r="S35" s="195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</row>
    <row r="36" spans="1:69" s="184" customFormat="1" ht="11.25" x14ac:dyDescent="0.15">
      <c r="A36" s="334"/>
      <c r="B36" s="186"/>
      <c r="C36" s="239" t="s">
        <v>404</v>
      </c>
      <c r="D36" s="209" t="s">
        <v>42</v>
      </c>
      <c r="E36" s="181">
        <f>ROUND(E35/0.6*0.035*0.05*1.2,3)</f>
        <v>0.221</v>
      </c>
      <c r="F36" s="26"/>
      <c r="G36" s="61"/>
      <c r="H36" s="26"/>
      <c r="I36" s="27"/>
      <c r="J36" s="27"/>
      <c r="K36" s="25"/>
      <c r="L36" s="25"/>
      <c r="M36" s="26"/>
      <c r="N36" s="27"/>
      <c r="O36" s="28"/>
      <c r="P36" s="29"/>
      <c r="Q36" s="195"/>
      <c r="R36" s="195"/>
      <c r="S36" s="195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</row>
    <row r="37" spans="1:69" s="184" customFormat="1" ht="33.75" x14ac:dyDescent="0.15">
      <c r="A37" s="334"/>
      <c r="B37" s="186"/>
      <c r="C37" s="239" t="s">
        <v>402</v>
      </c>
      <c r="D37" s="209" t="s">
        <v>403</v>
      </c>
      <c r="E37" s="269">
        <f>ROUND(E36/(0.035*0.05)*4/100,2)</f>
        <v>5.05</v>
      </c>
      <c r="F37" s="26"/>
      <c r="G37" s="61"/>
      <c r="H37" s="26"/>
      <c r="I37" s="27"/>
      <c r="J37" s="27"/>
      <c r="K37" s="25"/>
      <c r="L37" s="25"/>
      <c r="M37" s="26"/>
      <c r="N37" s="27"/>
      <c r="O37" s="28"/>
      <c r="P37" s="29"/>
      <c r="Q37" s="195"/>
      <c r="R37" s="195"/>
      <c r="S37" s="195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</row>
    <row r="38" spans="1:69" s="184" customFormat="1" ht="33.75" x14ac:dyDescent="0.15">
      <c r="A38" s="334" t="s">
        <v>313</v>
      </c>
      <c r="B38" s="176"/>
      <c r="C38" s="271" t="s">
        <v>415</v>
      </c>
      <c r="D38" s="180" t="s">
        <v>43</v>
      </c>
      <c r="E38" s="181">
        <f>E35</f>
        <v>63</v>
      </c>
      <c r="F38" s="26"/>
      <c r="G38" s="61"/>
      <c r="H38" s="26"/>
      <c r="I38" s="27"/>
      <c r="J38" s="27"/>
      <c r="K38" s="25"/>
      <c r="L38" s="25"/>
      <c r="M38" s="26"/>
      <c r="N38" s="27"/>
      <c r="O38" s="28"/>
      <c r="P38" s="29"/>
      <c r="Q38" s="195"/>
      <c r="R38" s="195"/>
      <c r="S38" s="195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</row>
    <row r="39" spans="1:69" s="184" customFormat="1" ht="22.5" x14ac:dyDescent="0.15">
      <c r="A39" s="334"/>
      <c r="B39" s="186"/>
      <c r="C39" s="185" t="s">
        <v>412</v>
      </c>
      <c r="D39" s="180" t="s">
        <v>43</v>
      </c>
      <c r="E39" s="181">
        <f>ROUND(E38*1.15,2)</f>
        <v>72.45</v>
      </c>
      <c r="F39" s="26"/>
      <c r="G39" s="61"/>
      <c r="H39" s="26"/>
      <c r="I39" s="27"/>
      <c r="J39" s="27"/>
      <c r="K39" s="25"/>
      <c r="L39" s="25"/>
      <c r="M39" s="26"/>
      <c r="N39" s="27"/>
      <c r="O39" s="28"/>
      <c r="P39" s="29"/>
      <c r="Q39" s="195"/>
      <c r="R39" s="195"/>
      <c r="S39" s="195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</row>
    <row r="40" spans="1:69" s="184" customFormat="1" ht="34.5" thickBot="1" x14ac:dyDescent="0.2">
      <c r="A40" s="334"/>
      <c r="B40" s="176"/>
      <c r="C40" s="185" t="s">
        <v>411</v>
      </c>
      <c r="D40" s="180" t="s">
        <v>403</v>
      </c>
      <c r="E40" s="181">
        <f>ROUND(E38*25/500,2)</f>
        <v>3.15</v>
      </c>
      <c r="F40" s="26"/>
      <c r="G40" s="61"/>
      <c r="H40" s="26"/>
      <c r="I40" s="27"/>
      <c r="J40" s="27"/>
      <c r="K40" s="25"/>
      <c r="L40" s="25"/>
      <c r="M40" s="26"/>
      <c r="N40" s="27"/>
      <c r="O40" s="28"/>
      <c r="P40" s="29"/>
      <c r="Q40" s="195"/>
      <c r="R40" s="195"/>
      <c r="S40" s="195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</row>
    <row r="41" spans="1:69" ht="15" customHeight="1" thickBo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2" t="s">
        <v>130</v>
      </c>
      <c r="L41" s="33">
        <f>ROUND(SUM(L15:L40),2)</f>
        <v>0</v>
      </c>
      <c r="M41" s="33">
        <f>ROUND(SUM(M15:M40),2)</f>
        <v>0</v>
      </c>
      <c r="N41" s="34">
        <f>ROUND(SUM(N15:N40),2)</f>
        <v>0</v>
      </c>
      <c r="O41" s="35">
        <f>ROUND(SUM(O15:O40),2)</f>
        <v>0</v>
      </c>
      <c r="P41" s="36">
        <f>ROUND(SUM(P15:P40),2)</f>
        <v>0</v>
      </c>
    </row>
    <row r="42" spans="1:69" ht="34.9" customHeight="1" x14ac:dyDescent="0.2">
      <c r="A42" s="37"/>
      <c r="B42" s="7"/>
      <c r="C42" s="38"/>
      <c r="D42" s="39"/>
      <c r="E42" s="5"/>
      <c r="F42" s="5"/>
      <c r="G42" s="5"/>
      <c r="H42" s="7"/>
      <c r="I42" s="7"/>
      <c r="J42" s="7"/>
      <c r="K42" s="7"/>
      <c r="L42" s="7"/>
      <c r="M42" s="7"/>
      <c r="N42" s="7"/>
      <c r="O42" s="7"/>
      <c r="P42" s="7"/>
    </row>
    <row r="43" spans="1:69" x14ac:dyDescent="0.2">
      <c r="A43" s="40"/>
      <c r="B43" s="41"/>
      <c r="C43" s="41" t="s">
        <v>10</v>
      </c>
      <c r="D43" s="42"/>
      <c r="E43" s="43"/>
      <c r="F43" s="44"/>
      <c r="G43" s="42"/>
      <c r="H43" s="45">
        <f>Kopsavilkums!C$43</f>
        <v>0</v>
      </c>
      <c r="I43" s="46" t="str">
        <f>Kopsavilkums!D$43</f>
        <v>datums</v>
      </c>
      <c r="J43" s="46"/>
      <c r="K43" s="41" t="s">
        <v>11</v>
      </c>
      <c r="L43" s="47"/>
      <c r="M43" s="44"/>
      <c r="N43" s="44"/>
      <c r="O43" s="45">
        <f>Kopsavilkums!C$48</f>
        <v>0</v>
      </c>
      <c r="P43" s="46" t="str">
        <f>Kopsavilkums!D$48</f>
        <v>datums</v>
      </c>
    </row>
    <row r="44" spans="1:69" x14ac:dyDescent="0.2">
      <c r="A44" s="48"/>
      <c r="B44" s="49"/>
      <c r="C44" s="50"/>
      <c r="D44" s="407" t="s">
        <v>12</v>
      </c>
      <c r="E44" s="407"/>
      <c r="F44" s="407"/>
      <c r="G44" s="407"/>
      <c r="H44" s="407"/>
      <c r="I44" s="7"/>
      <c r="J44" s="7"/>
      <c r="K44" s="7"/>
      <c r="L44" s="407" t="s">
        <v>12</v>
      </c>
      <c r="M44" s="407"/>
      <c r="N44" s="407"/>
      <c r="O44" s="407"/>
      <c r="P44" s="7"/>
    </row>
    <row r="45" spans="1:69" s="54" customFormat="1" x14ac:dyDescent="0.2">
      <c r="A45" s="37"/>
      <c r="B45" s="7"/>
      <c r="C45" s="38"/>
      <c r="D45" s="5"/>
      <c r="E45" s="5"/>
      <c r="F45" s="5"/>
      <c r="G45" s="5"/>
      <c r="H45" s="7"/>
      <c r="I45" s="7"/>
      <c r="J45" s="7"/>
      <c r="K45" s="7"/>
      <c r="L45" s="7"/>
      <c r="M45" s="7"/>
      <c r="N45" s="7"/>
      <c r="O45" s="7"/>
      <c r="P45" s="7"/>
      <c r="Q45" s="195"/>
      <c r="R45" s="195"/>
      <c r="S45" s="195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BO45" s="4"/>
      <c r="BP45" s="4"/>
      <c r="BQ45" s="4"/>
    </row>
    <row r="46" spans="1:69" s="54" customFormat="1" x14ac:dyDescent="0.2">
      <c r="A46" s="51"/>
      <c r="B46" s="46"/>
      <c r="C46" s="52"/>
      <c r="D46" s="52" t="str">
        <f>Kopsavilkums!B$46</f>
        <v>-</v>
      </c>
      <c r="E46" s="5"/>
      <c r="F46" s="5"/>
      <c r="G46" s="5"/>
      <c r="H46" s="7"/>
      <c r="I46" s="7"/>
      <c r="J46" s="7"/>
      <c r="K46" s="7"/>
      <c r="L46" s="52" t="str">
        <f>Kopsavilkums!B$51</f>
        <v>Sert.Nr.</v>
      </c>
      <c r="M46" s="53"/>
      <c r="N46" s="7"/>
      <c r="O46" s="7"/>
      <c r="P46" s="7"/>
      <c r="Q46" s="195"/>
      <c r="R46" s="195"/>
      <c r="S46" s="195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BO46" s="4"/>
      <c r="BP46" s="4"/>
      <c r="BQ46" s="4"/>
    </row>
    <row r="47" spans="1:69" s="54" customFormat="1" x14ac:dyDescent="0.25">
      <c r="Q47" s="195"/>
      <c r="R47" s="195"/>
      <c r="S47" s="195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</row>
    <row r="48" spans="1:69" s="54" customFormat="1" x14ac:dyDescent="0.25">
      <c r="Q48" s="195"/>
      <c r="R48" s="195"/>
      <c r="S48" s="195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</row>
    <row r="49" spans="17:45" s="54" customFormat="1" x14ac:dyDescent="0.25">
      <c r="Q49" s="195"/>
      <c r="R49" s="195"/>
      <c r="S49" s="195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</row>
    <row r="50" spans="17:45" s="54" customFormat="1" x14ac:dyDescent="0.25">
      <c r="Q50" s="195"/>
      <c r="R50" s="195"/>
      <c r="S50" s="195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</row>
    <row r="51" spans="17:45" s="54" customFormat="1" x14ac:dyDescent="0.25">
      <c r="Q51" s="195"/>
      <c r="R51" s="195"/>
      <c r="S51" s="195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</row>
    <row r="52" spans="17:45" s="54" customFormat="1" x14ac:dyDescent="0.25">
      <c r="Q52" s="195"/>
      <c r="R52" s="195"/>
      <c r="S52" s="195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</row>
    <row r="53" spans="17:45" s="54" customFormat="1" x14ac:dyDescent="0.25">
      <c r="Q53" s="195"/>
      <c r="R53" s="195"/>
      <c r="S53" s="195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</row>
    <row r="54" spans="17:45" s="54" customFormat="1" x14ac:dyDescent="0.25">
      <c r="Q54" s="195"/>
      <c r="R54" s="195"/>
      <c r="S54" s="195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</row>
    <row r="55" spans="17:45" s="54" customFormat="1" x14ac:dyDescent="0.25">
      <c r="Q55" s="195"/>
      <c r="R55" s="195"/>
      <c r="S55" s="195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</row>
    <row r="56" spans="17:45" s="54" customFormat="1" x14ac:dyDescent="0.25">
      <c r="Q56" s="195"/>
      <c r="R56" s="195"/>
      <c r="S56" s="195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</row>
    <row r="57" spans="17:45" s="54" customFormat="1" x14ac:dyDescent="0.25">
      <c r="Q57" s="195"/>
      <c r="R57" s="195"/>
      <c r="S57" s="195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</row>
    <row r="58" spans="17:45" s="54" customFormat="1" x14ac:dyDescent="0.25">
      <c r="Q58" s="195"/>
      <c r="R58" s="195"/>
      <c r="S58" s="195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</row>
    <row r="59" spans="17:45" s="54" customFormat="1" x14ac:dyDescent="0.25">
      <c r="Q59" s="195"/>
      <c r="R59" s="195"/>
      <c r="S59" s="195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</row>
    <row r="60" spans="17:45" s="54" customFormat="1" x14ac:dyDescent="0.25">
      <c r="Q60" s="195"/>
      <c r="R60" s="195"/>
      <c r="S60" s="195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</row>
    <row r="61" spans="17:45" s="54" customFormat="1" x14ac:dyDescent="0.25">
      <c r="Q61" s="195"/>
      <c r="R61" s="195"/>
      <c r="S61" s="195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</row>
    <row r="62" spans="17:45" s="54" customFormat="1" x14ac:dyDescent="0.25">
      <c r="Q62" s="195"/>
      <c r="R62" s="195"/>
      <c r="S62" s="195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</row>
    <row r="63" spans="17:45" s="54" customFormat="1" x14ac:dyDescent="0.25">
      <c r="Q63" s="195"/>
      <c r="R63" s="195"/>
      <c r="S63" s="195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</row>
    <row r="64" spans="17:45" s="54" customFormat="1" x14ac:dyDescent="0.25">
      <c r="Q64" s="195"/>
      <c r="R64" s="195"/>
      <c r="S64" s="195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</row>
    <row r="65" spans="17:45" s="54" customFormat="1" x14ac:dyDescent="0.25">
      <c r="Q65" s="195"/>
      <c r="R65" s="195"/>
      <c r="S65" s="195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</row>
    <row r="66" spans="17:45" s="54" customFormat="1" x14ac:dyDescent="0.25">
      <c r="Q66" s="195"/>
      <c r="R66" s="195"/>
      <c r="S66" s="195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</row>
    <row r="67" spans="17:45" s="54" customFormat="1" x14ac:dyDescent="0.25">
      <c r="Q67" s="195"/>
      <c r="R67" s="195"/>
      <c r="S67" s="195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</row>
    <row r="68" spans="17:45" s="54" customFormat="1" x14ac:dyDescent="0.25">
      <c r="Q68" s="195"/>
      <c r="R68" s="195"/>
      <c r="S68" s="195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</row>
    <row r="69" spans="17:45" s="54" customFormat="1" x14ac:dyDescent="0.25">
      <c r="Q69" s="195"/>
      <c r="R69" s="195"/>
      <c r="S69" s="195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</row>
    <row r="70" spans="17:45" s="54" customFormat="1" x14ac:dyDescent="0.25">
      <c r="Q70" s="195"/>
      <c r="R70" s="195"/>
      <c r="S70" s="195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</row>
    <row r="71" spans="17:45" s="54" customFormat="1" x14ac:dyDescent="0.25">
      <c r="Q71" s="195"/>
      <c r="R71" s="195"/>
      <c r="S71" s="195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</row>
    <row r="72" spans="17:45" s="54" customFormat="1" x14ac:dyDescent="0.25">
      <c r="Q72" s="195"/>
      <c r="R72" s="195"/>
      <c r="S72" s="195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</row>
    <row r="73" spans="17:45" s="54" customFormat="1" x14ac:dyDescent="0.25">
      <c r="Q73" s="195"/>
      <c r="R73" s="195"/>
      <c r="S73" s="195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</row>
    <row r="74" spans="17:45" s="54" customFormat="1" x14ac:dyDescent="0.25">
      <c r="Q74" s="195"/>
      <c r="R74" s="195"/>
      <c r="S74" s="195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</row>
    <row r="75" spans="17:45" s="54" customFormat="1" x14ac:dyDescent="0.25">
      <c r="Q75" s="195"/>
      <c r="R75" s="195"/>
      <c r="S75" s="195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</row>
    <row r="76" spans="17:45" s="54" customFormat="1" x14ac:dyDescent="0.25">
      <c r="Q76" s="195"/>
      <c r="R76" s="195"/>
      <c r="S76" s="195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</row>
    <row r="77" spans="17:45" s="54" customFormat="1" x14ac:dyDescent="0.25">
      <c r="Q77" s="195"/>
      <c r="R77" s="195"/>
      <c r="S77" s="195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</row>
    <row r="78" spans="17:45" s="54" customFormat="1" x14ac:dyDescent="0.25">
      <c r="Q78" s="195"/>
      <c r="R78" s="195"/>
      <c r="S78" s="195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</row>
    <row r="79" spans="17:45" s="54" customFormat="1" x14ac:dyDescent="0.25">
      <c r="Q79" s="195"/>
      <c r="R79" s="195"/>
      <c r="S79" s="195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</row>
    <row r="80" spans="17:45" s="54" customFormat="1" x14ac:dyDescent="0.25">
      <c r="Q80" s="195"/>
      <c r="R80" s="195"/>
      <c r="S80" s="195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</row>
    <row r="81" spans="17:45" s="54" customFormat="1" x14ac:dyDescent="0.25">
      <c r="Q81" s="195"/>
      <c r="R81" s="195"/>
      <c r="S81" s="195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</row>
    <row r="82" spans="17:45" s="54" customFormat="1" x14ac:dyDescent="0.25">
      <c r="Q82" s="195"/>
      <c r="R82" s="195"/>
      <c r="S82" s="195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</row>
    <row r="83" spans="17:45" s="54" customFormat="1" x14ac:dyDescent="0.25">
      <c r="Q83" s="195"/>
      <c r="R83" s="195"/>
      <c r="S83" s="195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</row>
    <row r="84" spans="17:45" s="54" customFormat="1" x14ac:dyDescent="0.25">
      <c r="Q84" s="195"/>
      <c r="R84" s="195"/>
      <c r="S84" s="195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</row>
    <row r="85" spans="17:45" s="54" customFormat="1" x14ac:dyDescent="0.25">
      <c r="Q85" s="195"/>
      <c r="R85" s="195"/>
      <c r="S85" s="195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</row>
    <row r="86" spans="17:45" s="54" customFormat="1" x14ac:dyDescent="0.25">
      <c r="Q86" s="195"/>
      <c r="R86" s="195"/>
      <c r="S86" s="195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</row>
    <row r="87" spans="17:45" s="54" customFormat="1" x14ac:dyDescent="0.25">
      <c r="Q87" s="195"/>
      <c r="R87" s="195"/>
      <c r="S87" s="195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</row>
    <row r="88" spans="17:45" s="54" customFormat="1" x14ac:dyDescent="0.25">
      <c r="Q88" s="195"/>
      <c r="R88" s="195"/>
      <c r="S88" s="195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</row>
    <row r="89" spans="17:45" s="54" customFormat="1" x14ac:dyDescent="0.25">
      <c r="Q89" s="195"/>
      <c r="R89" s="195"/>
      <c r="S89" s="195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</row>
    <row r="90" spans="17:45" s="54" customFormat="1" x14ac:dyDescent="0.25">
      <c r="Q90" s="195"/>
      <c r="R90" s="195"/>
      <c r="S90" s="195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</row>
    <row r="91" spans="17:45" s="54" customFormat="1" x14ac:dyDescent="0.25">
      <c r="Q91" s="195"/>
      <c r="R91" s="195"/>
      <c r="S91" s="195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</row>
    <row r="92" spans="17:45" s="54" customFormat="1" x14ac:dyDescent="0.25">
      <c r="Q92" s="195"/>
      <c r="R92" s="195"/>
      <c r="S92" s="195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</row>
    <row r="93" spans="17:45" s="54" customFormat="1" x14ac:dyDescent="0.25">
      <c r="Q93" s="195"/>
      <c r="R93" s="195"/>
      <c r="S93" s="195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</row>
    <row r="94" spans="17:45" s="54" customFormat="1" x14ac:dyDescent="0.25">
      <c r="Q94" s="195"/>
      <c r="R94" s="195"/>
      <c r="S94" s="195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</row>
    <row r="95" spans="17:45" s="54" customFormat="1" x14ac:dyDescent="0.25">
      <c r="Q95" s="195"/>
      <c r="R95" s="195"/>
      <c r="S95" s="195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</row>
    <row r="96" spans="17:45" s="54" customFormat="1" x14ac:dyDescent="0.25">
      <c r="Q96" s="195"/>
      <c r="R96" s="195"/>
      <c r="S96" s="195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</row>
    <row r="97" spans="17:45" s="54" customFormat="1" x14ac:dyDescent="0.25">
      <c r="Q97" s="195"/>
      <c r="R97" s="195"/>
      <c r="S97" s="195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</row>
    <row r="98" spans="17:45" s="54" customFormat="1" x14ac:dyDescent="0.25">
      <c r="Q98" s="195"/>
      <c r="R98" s="195"/>
      <c r="S98" s="195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</row>
    <row r="99" spans="17:45" s="54" customFormat="1" x14ac:dyDescent="0.25">
      <c r="Q99" s="195"/>
      <c r="R99" s="195"/>
      <c r="S99" s="195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</row>
    <row r="100" spans="17:45" s="54" customFormat="1" x14ac:dyDescent="0.25">
      <c r="Q100" s="195"/>
      <c r="R100" s="195"/>
      <c r="S100" s="195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</row>
    <row r="101" spans="17:45" s="54" customFormat="1" x14ac:dyDescent="0.25">
      <c r="Q101" s="195"/>
      <c r="R101" s="195"/>
      <c r="S101" s="195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</row>
    <row r="102" spans="17:45" s="54" customFormat="1" x14ac:dyDescent="0.25">
      <c r="Q102" s="195"/>
      <c r="R102" s="195"/>
      <c r="S102" s="195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</row>
    <row r="103" spans="17:45" s="54" customFormat="1" x14ac:dyDescent="0.25">
      <c r="Q103" s="195"/>
      <c r="R103" s="195"/>
      <c r="S103" s="195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</row>
    <row r="104" spans="17:45" s="54" customFormat="1" x14ac:dyDescent="0.25">
      <c r="Q104" s="195"/>
      <c r="R104" s="195"/>
      <c r="S104" s="195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</row>
    <row r="105" spans="17:45" s="54" customFormat="1" x14ac:dyDescent="0.25">
      <c r="Q105" s="195"/>
      <c r="R105" s="195"/>
      <c r="S105" s="195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</row>
    <row r="106" spans="17:45" s="54" customFormat="1" x14ac:dyDescent="0.25">
      <c r="Q106" s="195"/>
      <c r="R106" s="195"/>
      <c r="S106" s="195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</row>
    <row r="107" spans="17:45" s="54" customFormat="1" x14ac:dyDescent="0.25">
      <c r="Q107" s="195"/>
      <c r="R107" s="195"/>
      <c r="S107" s="195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</row>
    <row r="108" spans="17:45" s="54" customFormat="1" x14ac:dyDescent="0.25">
      <c r="Q108" s="195"/>
      <c r="R108" s="195"/>
      <c r="S108" s="195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</row>
    <row r="109" spans="17:45" s="54" customFormat="1" x14ac:dyDescent="0.25">
      <c r="Q109" s="195"/>
      <c r="R109" s="195"/>
      <c r="S109" s="195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</row>
    <row r="110" spans="17:45" s="54" customFormat="1" x14ac:dyDescent="0.25">
      <c r="Q110" s="195"/>
      <c r="R110" s="195"/>
      <c r="S110" s="195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</row>
    <row r="111" spans="17:45" s="54" customFormat="1" x14ac:dyDescent="0.25">
      <c r="Q111" s="195"/>
      <c r="R111" s="195"/>
      <c r="S111" s="195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</row>
    <row r="112" spans="17:45" s="54" customFormat="1" x14ac:dyDescent="0.25">
      <c r="Q112" s="195"/>
      <c r="R112" s="195"/>
      <c r="S112" s="195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</row>
    <row r="113" spans="17:45" s="54" customFormat="1" x14ac:dyDescent="0.25">
      <c r="Q113" s="195"/>
      <c r="R113" s="195"/>
      <c r="S113" s="195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</row>
    <row r="114" spans="17:45" s="54" customFormat="1" x14ac:dyDescent="0.25">
      <c r="Q114" s="195"/>
      <c r="R114" s="195"/>
      <c r="S114" s="195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</row>
    <row r="115" spans="17:45" s="54" customFormat="1" x14ac:dyDescent="0.25">
      <c r="Q115" s="195"/>
      <c r="R115" s="195"/>
      <c r="S115" s="195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</row>
    <row r="116" spans="17:45" s="54" customFormat="1" x14ac:dyDescent="0.25">
      <c r="Q116" s="195"/>
      <c r="R116" s="195"/>
      <c r="S116" s="195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</row>
    <row r="117" spans="17:45" s="54" customFormat="1" x14ac:dyDescent="0.25">
      <c r="Q117" s="195"/>
      <c r="R117" s="195"/>
      <c r="S117" s="195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</row>
    <row r="118" spans="17:45" s="54" customFormat="1" x14ac:dyDescent="0.25">
      <c r="Q118" s="195"/>
      <c r="R118" s="195"/>
      <c r="S118" s="195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</row>
    <row r="119" spans="17:45" s="54" customFormat="1" x14ac:dyDescent="0.25">
      <c r="Q119" s="195"/>
      <c r="R119" s="195"/>
      <c r="S119" s="195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</row>
    <row r="120" spans="17:45" s="54" customFormat="1" x14ac:dyDescent="0.25">
      <c r="Q120" s="195"/>
      <c r="R120" s="195"/>
      <c r="S120" s="195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</row>
    <row r="121" spans="17:45" s="54" customFormat="1" x14ac:dyDescent="0.25">
      <c r="Q121" s="195"/>
      <c r="R121" s="195"/>
      <c r="S121" s="195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</row>
    <row r="122" spans="17:45" s="54" customFormat="1" x14ac:dyDescent="0.25">
      <c r="Q122" s="195"/>
      <c r="R122" s="195"/>
      <c r="S122" s="195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</row>
    <row r="123" spans="17:45" s="54" customFormat="1" x14ac:dyDescent="0.25">
      <c r="Q123" s="195"/>
      <c r="R123" s="195"/>
      <c r="S123" s="195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</row>
    <row r="124" spans="17:45" s="54" customFormat="1" x14ac:dyDescent="0.25">
      <c r="Q124" s="195"/>
      <c r="R124" s="195"/>
      <c r="S124" s="195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</row>
    <row r="125" spans="17:45" s="54" customFormat="1" x14ac:dyDescent="0.25">
      <c r="Q125" s="195"/>
      <c r="R125" s="195"/>
      <c r="S125" s="195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</row>
    <row r="126" spans="17:45" s="54" customFormat="1" x14ac:dyDescent="0.25">
      <c r="Q126" s="195"/>
      <c r="R126" s="195"/>
      <c r="S126" s="195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</row>
    <row r="127" spans="17:45" s="54" customFormat="1" x14ac:dyDescent="0.25">
      <c r="Q127" s="195"/>
      <c r="R127" s="195"/>
      <c r="S127" s="195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</row>
    <row r="128" spans="17:45" s="54" customFormat="1" x14ac:dyDescent="0.25">
      <c r="Q128" s="195"/>
      <c r="R128" s="195"/>
      <c r="S128" s="195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</row>
    <row r="129" spans="17:45" s="54" customFormat="1" x14ac:dyDescent="0.25">
      <c r="Q129" s="195"/>
      <c r="R129" s="195"/>
      <c r="S129" s="195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</row>
    <row r="130" spans="17:45" s="54" customFormat="1" x14ac:dyDescent="0.25">
      <c r="Q130" s="195"/>
      <c r="R130" s="195"/>
      <c r="S130" s="195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</row>
    <row r="131" spans="17:45" s="54" customFormat="1" x14ac:dyDescent="0.25">
      <c r="Q131" s="195"/>
      <c r="R131" s="195"/>
      <c r="S131" s="195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</row>
    <row r="132" spans="17:45" s="54" customFormat="1" x14ac:dyDescent="0.25">
      <c r="Q132" s="195"/>
      <c r="R132" s="195"/>
      <c r="S132" s="195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</row>
    <row r="133" spans="17:45" s="54" customFormat="1" x14ac:dyDescent="0.25">
      <c r="Q133" s="195"/>
      <c r="R133" s="195"/>
      <c r="S133" s="195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</row>
    <row r="134" spans="17:45" s="54" customFormat="1" x14ac:dyDescent="0.25">
      <c r="Q134" s="195"/>
      <c r="R134" s="195"/>
      <c r="S134" s="195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</row>
    <row r="135" spans="17:45" s="54" customFormat="1" x14ac:dyDescent="0.25">
      <c r="Q135" s="195"/>
      <c r="R135" s="195"/>
      <c r="S135" s="195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</row>
    <row r="136" spans="17:45" s="54" customFormat="1" x14ac:dyDescent="0.25">
      <c r="Q136" s="195"/>
      <c r="R136" s="195"/>
      <c r="S136" s="195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</row>
    <row r="137" spans="17:45" s="54" customFormat="1" x14ac:dyDescent="0.25">
      <c r="Q137" s="195"/>
      <c r="R137" s="195"/>
      <c r="S137" s="195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</row>
    <row r="138" spans="17:45" s="54" customFormat="1" x14ac:dyDescent="0.25">
      <c r="Q138" s="195"/>
      <c r="R138" s="195"/>
      <c r="S138" s="195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</row>
    <row r="139" spans="17:45" s="54" customFormat="1" x14ac:dyDescent="0.25">
      <c r="Q139" s="195"/>
      <c r="R139" s="195"/>
      <c r="S139" s="195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</row>
    <row r="140" spans="17:45" s="54" customFormat="1" x14ac:dyDescent="0.25">
      <c r="Q140" s="195"/>
      <c r="R140" s="195"/>
      <c r="S140" s="195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</row>
    <row r="141" spans="17:45" s="54" customFormat="1" x14ac:dyDescent="0.25">
      <c r="Q141" s="195"/>
      <c r="R141" s="195"/>
      <c r="S141" s="195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</row>
    <row r="142" spans="17:45" s="54" customFormat="1" x14ac:dyDescent="0.25">
      <c r="Q142" s="195"/>
      <c r="R142" s="195"/>
      <c r="S142" s="195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</row>
    <row r="143" spans="17:45" s="54" customFormat="1" x14ac:dyDescent="0.25">
      <c r="Q143" s="195"/>
      <c r="R143" s="195"/>
      <c r="S143" s="195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</row>
    <row r="144" spans="17:45" s="54" customFormat="1" x14ac:dyDescent="0.25">
      <c r="Q144" s="195"/>
      <c r="R144" s="195"/>
      <c r="S144" s="195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</row>
    <row r="145" spans="17:45" s="54" customFormat="1" x14ac:dyDescent="0.25">
      <c r="Q145" s="195"/>
      <c r="R145" s="195"/>
      <c r="S145" s="195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</row>
    <row r="146" spans="17:45" s="54" customFormat="1" x14ac:dyDescent="0.25">
      <c r="Q146" s="195"/>
      <c r="R146" s="195"/>
      <c r="S146" s="195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</row>
    <row r="147" spans="17:45" s="54" customFormat="1" x14ac:dyDescent="0.25">
      <c r="Q147" s="195"/>
      <c r="R147" s="195"/>
      <c r="S147" s="195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</row>
    <row r="148" spans="17:45" s="54" customFormat="1" x14ac:dyDescent="0.25">
      <c r="Q148" s="195"/>
      <c r="R148" s="195"/>
      <c r="S148" s="195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</row>
    <row r="149" spans="17:45" s="54" customFormat="1" x14ac:dyDescent="0.25">
      <c r="Q149" s="195"/>
      <c r="R149" s="195"/>
      <c r="S149" s="195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</row>
    <row r="150" spans="17:45" s="54" customFormat="1" x14ac:dyDescent="0.25">
      <c r="Q150" s="195"/>
      <c r="R150" s="195"/>
      <c r="S150" s="195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</row>
    <row r="151" spans="17:45" s="54" customFormat="1" x14ac:dyDescent="0.25">
      <c r="Q151" s="195"/>
      <c r="R151" s="195"/>
      <c r="S151" s="195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</row>
    <row r="152" spans="17:45" s="54" customFormat="1" x14ac:dyDescent="0.25">
      <c r="Q152" s="195"/>
      <c r="R152" s="195"/>
      <c r="S152" s="195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</row>
    <row r="153" spans="17:45" s="54" customFormat="1" x14ac:dyDescent="0.25">
      <c r="Q153" s="195"/>
      <c r="R153" s="195"/>
      <c r="S153" s="195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</row>
    <row r="154" spans="17:45" s="54" customFormat="1" x14ac:dyDescent="0.25">
      <c r="Q154" s="195"/>
      <c r="R154" s="195"/>
      <c r="S154" s="195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</row>
    <row r="155" spans="17:45" s="54" customFormat="1" x14ac:dyDescent="0.25">
      <c r="Q155" s="195"/>
      <c r="R155" s="195"/>
      <c r="S155" s="195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</row>
    <row r="156" spans="17:45" s="54" customFormat="1" x14ac:dyDescent="0.25">
      <c r="Q156" s="195"/>
      <c r="R156" s="195"/>
      <c r="S156" s="195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</row>
    <row r="157" spans="17:45" s="54" customFormat="1" x14ac:dyDescent="0.25">
      <c r="Q157" s="195"/>
      <c r="R157" s="195"/>
      <c r="S157" s="195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</row>
    <row r="158" spans="17:45" s="54" customFormat="1" x14ac:dyDescent="0.25">
      <c r="Q158" s="195"/>
      <c r="R158" s="195"/>
      <c r="S158" s="195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</row>
    <row r="159" spans="17:45" s="54" customFormat="1" x14ac:dyDescent="0.25">
      <c r="Q159" s="195"/>
      <c r="R159" s="195"/>
      <c r="S159" s="195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</row>
    <row r="160" spans="17:45" s="54" customFormat="1" x14ac:dyDescent="0.25">
      <c r="Q160" s="195"/>
      <c r="R160" s="195"/>
      <c r="S160" s="195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</row>
    <row r="161" spans="17:45" s="54" customFormat="1" x14ac:dyDescent="0.25">
      <c r="Q161" s="195"/>
      <c r="R161" s="195"/>
      <c r="S161" s="195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</row>
    <row r="162" spans="17:45" s="54" customFormat="1" x14ac:dyDescent="0.25">
      <c r="Q162" s="195"/>
      <c r="R162" s="195"/>
      <c r="S162" s="195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</row>
    <row r="163" spans="17:45" s="54" customFormat="1" x14ac:dyDescent="0.25">
      <c r="Q163" s="195"/>
      <c r="R163" s="195"/>
      <c r="S163" s="195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</row>
    <row r="164" spans="17:45" s="54" customFormat="1" x14ac:dyDescent="0.25">
      <c r="Q164" s="195"/>
      <c r="R164" s="195"/>
      <c r="S164" s="195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</row>
    <row r="165" spans="17:45" s="54" customFormat="1" x14ac:dyDescent="0.25">
      <c r="Q165" s="195"/>
      <c r="R165" s="195"/>
      <c r="S165" s="195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</row>
    <row r="166" spans="17:45" s="54" customFormat="1" x14ac:dyDescent="0.25">
      <c r="Q166" s="195"/>
      <c r="R166" s="195"/>
      <c r="S166" s="195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</row>
    <row r="167" spans="17:45" s="54" customFormat="1" x14ac:dyDescent="0.25">
      <c r="Q167" s="195"/>
      <c r="R167" s="195"/>
      <c r="S167" s="195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</row>
    <row r="168" spans="17:45" s="54" customFormat="1" x14ac:dyDescent="0.25">
      <c r="Q168" s="195"/>
      <c r="R168" s="195"/>
      <c r="S168" s="195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</row>
    <row r="169" spans="17:45" s="54" customFormat="1" x14ac:dyDescent="0.25">
      <c r="Q169" s="195"/>
      <c r="R169" s="195"/>
      <c r="S169" s="195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</row>
    <row r="170" spans="17:45" s="54" customFormat="1" x14ac:dyDescent="0.25">
      <c r="Q170" s="195"/>
      <c r="R170" s="195"/>
      <c r="S170" s="195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</row>
    <row r="171" spans="17:45" s="54" customFormat="1" x14ac:dyDescent="0.25">
      <c r="Q171" s="195"/>
      <c r="R171" s="195"/>
      <c r="S171" s="195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</row>
    <row r="172" spans="17:45" s="54" customFormat="1" x14ac:dyDescent="0.25">
      <c r="Q172" s="195"/>
      <c r="R172" s="195"/>
      <c r="S172" s="195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</row>
    <row r="173" spans="17:45" s="54" customFormat="1" x14ac:dyDescent="0.25">
      <c r="Q173" s="195"/>
      <c r="R173" s="195"/>
      <c r="S173" s="195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</row>
    <row r="174" spans="17:45" s="54" customFormat="1" x14ac:dyDescent="0.25">
      <c r="Q174" s="195"/>
      <c r="R174" s="195"/>
      <c r="S174" s="195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</row>
    <row r="175" spans="17:45" s="54" customFormat="1" x14ac:dyDescent="0.25">
      <c r="Q175" s="195"/>
      <c r="R175" s="195"/>
      <c r="S175" s="195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</row>
    <row r="176" spans="17:45" s="54" customFormat="1" x14ac:dyDescent="0.25">
      <c r="Q176" s="195"/>
      <c r="R176" s="195"/>
      <c r="S176" s="195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</row>
    <row r="177" spans="17:45" s="54" customFormat="1" x14ac:dyDescent="0.25">
      <c r="Q177" s="195"/>
      <c r="R177" s="195"/>
      <c r="S177" s="195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</row>
    <row r="178" spans="17:45" s="54" customFormat="1" x14ac:dyDescent="0.25">
      <c r="Q178" s="195"/>
      <c r="R178" s="195"/>
      <c r="S178" s="195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</row>
    <row r="179" spans="17:45" s="54" customFormat="1" x14ac:dyDescent="0.25">
      <c r="Q179" s="195"/>
      <c r="R179" s="195"/>
      <c r="S179" s="195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</row>
    <row r="180" spans="17:45" s="54" customFormat="1" x14ac:dyDescent="0.25">
      <c r="Q180" s="195"/>
      <c r="R180" s="195"/>
      <c r="S180" s="195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</row>
    <row r="181" spans="17:45" s="54" customFormat="1" x14ac:dyDescent="0.25">
      <c r="Q181" s="195"/>
      <c r="R181" s="195"/>
      <c r="S181" s="195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</row>
    <row r="182" spans="17:45" s="54" customFormat="1" x14ac:dyDescent="0.25">
      <c r="Q182" s="195"/>
      <c r="R182" s="195"/>
      <c r="S182" s="195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</row>
    <row r="183" spans="17:45" s="54" customFormat="1" x14ac:dyDescent="0.25">
      <c r="Q183" s="195"/>
      <c r="R183" s="195"/>
      <c r="S183" s="195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</row>
    <row r="184" spans="17:45" s="54" customFormat="1" x14ac:dyDescent="0.25">
      <c r="Q184" s="195"/>
      <c r="R184" s="195"/>
      <c r="S184" s="195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</row>
    <row r="185" spans="17:45" s="54" customFormat="1" x14ac:dyDescent="0.25">
      <c r="Q185" s="195"/>
      <c r="R185" s="195"/>
      <c r="S185" s="195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</row>
    <row r="186" spans="17:45" s="54" customFormat="1" x14ac:dyDescent="0.25">
      <c r="Q186" s="195"/>
      <c r="R186" s="195"/>
      <c r="S186" s="195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</row>
    <row r="187" spans="17:45" s="54" customFormat="1" x14ac:dyDescent="0.25">
      <c r="Q187" s="195"/>
      <c r="R187" s="195"/>
      <c r="S187" s="195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</row>
    <row r="188" spans="17:45" s="54" customFormat="1" x14ac:dyDescent="0.25">
      <c r="Q188" s="195"/>
      <c r="R188" s="195"/>
      <c r="S188" s="195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</row>
    <row r="189" spans="17:45" s="54" customFormat="1" x14ac:dyDescent="0.25">
      <c r="Q189" s="195"/>
      <c r="R189" s="195"/>
      <c r="S189" s="195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</row>
    <row r="190" spans="17:45" s="54" customFormat="1" x14ac:dyDescent="0.25">
      <c r="Q190" s="195"/>
      <c r="R190" s="195"/>
      <c r="S190" s="195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</row>
    <row r="191" spans="17:45" s="54" customFormat="1" x14ac:dyDescent="0.25">
      <c r="Q191" s="195"/>
      <c r="R191" s="195"/>
      <c r="S191" s="195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</row>
    <row r="192" spans="17:45" s="54" customFormat="1" x14ac:dyDescent="0.25">
      <c r="Q192" s="195"/>
      <c r="R192" s="195"/>
      <c r="S192" s="195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</row>
    <row r="193" spans="17:45" s="54" customFormat="1" x14ac:dyDescent="0.25">
      <c r="Q193" s="195"/>
      <c r="R193" s="195"/>
      <c r="S193" s="195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</row>
    <row r="194" spans="17:45" s="54" customFormat="1" x14ac:dyDescent="0.25">
      <c r="Q194" s="195"/>
      <c r="R194" s="195"/>
      <c r="S194" s="195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</row>
    <row r="195" spans="17:45" s="54" customFormat="1" x14ac:dyDescent="0.25">
      <c r="Q195" s="195"/>
      <c r="R195" s="195"/>
      <c r="S195" s="195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</row>
    <row r="196" spans="17:45" s="54" customFormat="1" x14ac:dyDescent="0.25">
      <c r="Q196" s="195"/>
      <c r="R196" s="195"/>
      <c r="S196" s="195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</row>
    <row r="197" spans="17:45" s="54" customFormat="1" x14ac:dyDescent="0.25">
      <c r="Q197" s="195"/>
      <c r="R197" s="195"/>
      <c r="S197" s="195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</row>
    <row r="198" spans="17:45" s="54" customFormat="1" x14ac:dyDescent="0.25">
      <c r="Q198" s="195"/>
      <c r="R198" s="195"/>
      <c r="S198" s="195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</row>
    <row r="199" spans="17:45" s="54" customFormat="1" x14ac:dyDescent="0.25">
      <c r="Q199" s="195"/>
      <c r="R199" s="195"/>
      <c r="S199" s="195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</row>
    <row r="200" spans="17:45" s="54" customFormat="1" x14ac:dyDescent="0.25">
      <c r="Q200" s="195"/>
      <c r="R200" s="195"/>
      <c r="S200" s="195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</row>
    <row r="201" spans="17:45" s="54" customFormat="1" x14ac:dyDescent="0.25">
      <c r="Q201" s="195"/>
      <c r="R201" s="195"/>
      <c r="S201" s="195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</row>
    <row r="202" spans="17:45" s="54" customFormat="1" x14ac:dyDescent="0.25">
      <c r="Q202" s="195"/>
      <c r="R202" s="195"/>
      <c r="S202" s="195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</row>
    <row r="203" spans="17:45" s="54" customFormat="1" x14ac:dyDescent="0.25">
      <c r="Q203" s="195"/>
      <c r="R203" s="195"/>
      <c r="S203" s="195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</row>
    <row r="204" spans="17:45" s="54" customFormat="1" x14ac:dyDescent="0.25">
      <c r="Q204" s="195"/>
      <c r="R204" s="195"/>
      <c r="S204" s="195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</row>
    <row r="205" spans="17:45" s="54" customFormat="1" x14ac:dyDescent="0.25">
      <c r="Q205" s="195"/>
      <c r="R205" s="195"/>
      <c r="S205" s="195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</row>
    <row r="206" spans="17:45" s="54" customFormat="1" x14ac:dyDescent="0.25">
      <c r="Q206" s="195"/>
      <c r="R206" s="195"/>
      <c r="S206" s="195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</row>
    <row r="207" spans="17:45" s="54" customFormat="1" x14ac:dyDescent="0.25">
      <c r="Q207" s="195"/>
      <c r="R207" s="195"/>
      <c r="S207" s="195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</row>
    <row r="208" spans="17:45" s="54" customFormat="1" x14ac:dyDescent="0.25">
      <c r="Q208" s="195"/>
      <c r="R208" s="195"/>
      <c r="S208" s="195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</row>
    <row r="209" spans="17:45" s="54" customFormat="1" x14ac:dyDescent="0.25">
      <c r="Q209" s="195"/>
      <c r="R209" s="195"/>
      <c r="S209" s="195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</row>
    <row r="210" spans="17:45" s="54" customFormat="1" x14ac:dyDescent="0.25">
      <c r="Q210" s="195"/>
      <c r="R210" s="195"/>
      <c r="S210" s="195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</row>
    <row r="211" spans="17:45" s="54" customFormat="1" x14ac:dyDescent="0.25">
      <c r="Q211" s="195"/>
      <c r="R211" s="195"/>
      <c r="S211" s="195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</row>
    <row r="212" spans="17:45" s="54" customFormat="1" x14ac:dyDescent="0.25">
      <c r="Q212" s="195"/>
      <c r="R212" s="195"/>
      <c r="S212" s="195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</row>
    <row r="213" spans="17:45" s="54" customFormat="1" x14ac:dyDescent="0.25">
      <c r="Q213" s="195"/>
      <c r="R213" s="195"/>
      <c r="S213" s="195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</row>
    <row r="214" spans="17:45" s="54" customFormat="1" x14ac:dyDescent="0.25">
      <c r="Q214" s="195"/>
      <c r="R214" s="195"/>
      <c r="S214" s="195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</row>
    <row r="215" spans="17:45" s="54" customFormat="1" x14ac:dyDescent="0.25">
      <c r="Q215" s="195"/>
      <c r="R215" s="195"/>
      <c r="S215" s="195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</row>
    <row r="216" spans="17:45" s="54" customFormat="1" x14ac:dyDescent="0.25">
      <c r="Q216" s="195"/>
      <c r="R216" s="195"/>
      <c r="S216" s="195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</row>
    <row r="217" spans="17:45" s="54" customFormat="1" x14ac:dyDescent="0.25">
      <c r="Q217" s="195"/>
      <c r="R217" s="195"/>
      <c r="S217" s="195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</row>
    <row r="218" spans="17:45" s="54" customFormat="1" x14ac:dyDescent="0.25">
      <c r="Q218" s="195"/>
      <c r="R218" s="195"/>
      <c r="S218" s="195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</row>
    <row r="219" spans="17:45" s="54" customFormat="1" x14ac:dyDescent="0.25">
      <c r="Q219" s="195"/>
      <c r="R219" s="195"/>
      <c r="S219" s="195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</row>
    <row r="220" spans="17:45" s="54" customFormat="1" x14ac:dyDescent="0.25">
      <c r="Q220" s="195"/>
      <c r="R220" s="195"/>
      <c r="S220" s="195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</row>
    <row r="221" spans="17:45" s="54" customFormat="1" x14ac:dyDescent="0.25">
      <c r="Q221" s="195"/>
      <c r="R221" s="195"/>
      <c r="S221" s="195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</row>
    <row r="222" spans="17:45" s="54" customFormat="1" x14ac:dyDescent="0.25">
      <c r="Q222" s="195"/>
      <c r="R222" s="195"/>
      <c r="S222" s="195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</row>
    <row r="223" spans="17:45" s="54" customFormat="1" x14ac:dyDescent="0.25">
      <c r="Q223" s="195"/>
      <c r="R223" s="195"/>
      <c r="S223" s="195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</row>
    <row r="224" spans="17:45" s="54" customFormat="1" x14ac:dyDescent="0.25">
      <c r="Q224" s="195"/>
      <c r="R224" s="195"/>
      <c r="S224" s="195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</row>
    <row r="225" spans="17:45" s="54" customFormat="1" x14ac:dyDescent="0.25">
      <c r="Q225" s="195"/>
      <c r="R225" s="195"/>
      <c r="S225" s="195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</row>
    <row r="226" spans="17:45" s="54" customFormat="1" x14ac:dyDescent="0.25">
      <c r="Q226" s="195"/>
      <c r="R226" s="195"/>
      <c r="S226" s="195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</row>
    <row r="227" spans="17:45" s="54" customFormat="1" x14ac:dyDescent="0.25">
      <c r="Q227" s="195"/>
      <c r="R227" s="195"/>
      <c r="S227" s="195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</row>
    <row r="228" spans="17:45" s="54" customFormat="1" x14ac:dyDescent="0.25">
      <c r="Q228" s="195"/>
      <c r="R228" s="195"/>
      <c r="S228" s="195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</row>
    <row r="229" spans="17:45" s="54" customFormat="1" x14ac:dyDescent="0.25">
      <c r="Q229" s="195"/>
      <c r="R229" s="195"/>
      <c r="S229" s="195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</row>
    <row r="230" spans="17:45" s="54" customFormat="1" x14ac:dyDescent="0.25">
      <c r="Q230" s="195"/>
      <c r="R230" s="195"/>
      <c r="S230" s="195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</row>
    <row r="231" spans="17:45" s="54" customFormat="1" x14ac:dyDescent="0.25">
      <c r="Q231" s="195"/>
      <c r="R231" s="195"/>
      <c r="S231" s="195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</row>
    <row r="232" spans="17:45" s="54" customFormat="1" x14ac:dyDescent="0.25">
      <c r="Q232" s="195"/>
      <c r="R232" s="195"/>
      <c r="S232" s="195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</row>
    <row r="233" spans="17:45" s="54" customFormat="1" x14ac:dyDescent="0.25">
      <c r="Q233" s="195"/>
      <c r="R233" s="195"/>
      <c r="S233" s="195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</row>
    <row r="234" spans="17:45" s="54" customFormat="1" x14ac:dyDescent="0.25">
      <c r="Q234" s="195"/>
      <c r="R234" s="195"/>
      <c r="S234" s="195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</row>
    <row r="235" spans="17:45" s="54" customFormat="1" x14ac:dyDescent="0.25">
      <c r="Q235" s="195"/>
      <c r="R235" s="195"/>
      <c r="S235" s="195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</row>
    <row r="236" spans="17:45" s="54" customFormat="1" x14ac:dyDescent="0.25">
      <c r="Q236" s="195"/>
      <c r="R236" s="195"/>
      <c r="S236" s="195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</row>
    <row r="237" spans="17:45" s="54" customFormat="1" x14ac:dyDescent="0.25">
      <c r="Q237" s="195"/>
      <c r="R237" s="195"/>
      <c r="S237" s="195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</row>
    <row r="238" spans="17:45" s="54" customFormat="1" x14ac:dyDescent="0.25">
      <c r="Q238" s="195"/>
      <c r="R238" s="195"/>
      <c r="S238" s="195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</row>
    <row r="239" spans="17:45" s="54" customFormat="1" x14ac:dyDescent="0.25">
      <c r="Q239" s="195"/>
      <c r="R239" s="195"/>
      <c r="S239" s="195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</row>
    <row r="240" spans="17:45" s="54" customFormat="1" x14ac:dyDescent="0.25">
      <c r="Q240" s="195"/>
      <c r="R240" s="195"/>
      <c r="S240" s="195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</row>
    <row r="241" spans="17:45" s="54" customFormat="1" x14ac:dyDescent="0.25">
      <c r="Q241" s="195"/>
      <c r="R241" s="195"/>
      <c r="S241" s="195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</row>
    <row r="242" spans="17:45" s="54" customFormat="1" x14ac:dyDescent="0.25">
      <c r="Q242" s="195"/>
      <c r="R242" s="195"/>
      <c r="S242" s="195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</row>
    <row r="243" spans="17:45" s="54" customFormat="1" x14ac:dyDescent="0.25">
      <c r="Q243" s="195"/>
      <c r="R243" s="195"/>
      <c r="S243" s="195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</row>
    <row r="244" spans="17:45" s="54" customFormat="1" x14ac:dyDescent="0.25">
      <c r="Q244" s="195"/>
      <c r="R244" s="195"/>
      <c r="S244" s="195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</row>
    <row r="245" spans="17:45" s="54" customFormat="1" x14ac:dyDescent="0.25">
      <c r="Q245" s="195"/>
      <c r="R245" s="195"/>
      <c r="S245" s="195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</row>
    <row r="246" spans="17:45" s="54" customFormat="1" x14ac:dyDescent="0.25">
      <c r="Q246" s="195"/>
      <c r="R246" s="195"/>
      <c r="S246" s="195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</row>
    <row r="247" spans="17:45" s="54" customFormat="1" x14ac:dyDescent="0.25">
      <c r="Q247" s="195"/>
      <c r="R247" s="195"/>
      <c r="S247" s="195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</row>
    <row r="248" spans="17:45" s="54" customFormat="1" x14ac:dyDescent="0.25">
      <c r="Q248" s="195"/>
      <c r="R248" s="195"/>
      <c r="S248" s="195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</row>
    <row r="249" spans="17:45" s="54" customFormat="1" x14ac:dyDescent="0.25">
      <c r="Q249" s="195"/>
      <c r="R249" s="195"/>
      <c r="S249" s="195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</row>
    <row r="250" spans="17:45" s="54" customFormat="1" x14ac:dyDescent="0.25">
      <c r="Q250" s="195"/>
      <c r="R250" s="195"/>
      <c r="S250" s="195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</row>
    <row r="251" spans="17:45" s="54" customFormat="1" x14ac:dyDescent="0.25">
      <c r="Q251" s="195"/>
      <c r="R251" s="195"/>
      <c r="S251" s="195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</row>
    <row r="252" spans="17:45" s="54" customFormat="1" x14ac:dyDescent="0.25">
      <c r="Q252" s="195"/>
      <c r="R252" s="195"/>
      <c r="S252" s="195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</row>
    <row r="253" spans="17:45" s="54" customFormat="1" x14ac:dyDescent="0.25">
      <c r="Q253" s="195"/>
      <c r="R253" s="195"/>
      <c r="S253" s="195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</row>
    <row r="254" spans="17:45" s="54" customFormat="1" x14ac:dyDescent="0.25">
      <c r="Q254" s="195"/>
      <c r="R254" s="195"/>
      <c r="S254" s="195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</row>
    <row r="255" spans="17:45" s="54" customFormat="1" x14ac:dyDescent="0.25">
      <c r="Q255" s="195"/>
      <c r="R255" s="195"/>
      <c r="S255" s="195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</row>
    <row r="256" spans="17:45" s="54" customFormat="1" x14ac:dyDescent="0.25">
      <c r="Q256" s="195"/>
      <c r="R256" s="195"/>
      <c r="S256" s="195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</row>
    <row r="257" spans="17:45" s="54" customFormat="1" x14ac:dyDescent="0.25">
      <c r="Q257" s="195"/>
      <c r="R257" s="195"/>
      <c r="S257" s="195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</row>
    <row r="258" spans="17:45" s="54" customFormat="1" x14ac:dyDescent="0.25">
      <c r="Q258" s="195"/>
      <c r="R258" s="195"/>
      <c r="S258" s="195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</row>
    <row r="259" spans="17:45" s="54" customFormat="1" x14ac:dyDescent="0.25">
      <c r="Q259" s="195"/>
      <c r="R259" s="195"/>
      <c r="S259" s="195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</row>
    <row r="260" spans="17:45" s="54" customFormat="1" x14ac:dyDescent="0.25">
      <c r="Q260" s="195"/>
      <c r="R260" s="195"/>
      <c r="S260" s="195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</row>
    <row r="261" spans="17:45" s="54" customFormat="1" x14ac:dyDescent="0.25">
      <c r="Q261" s="195"/>
      <c r="R261" s="195"/>
      <c r="S261" s="195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</row>
    <row r="262" spans="17:45" s="54" customFormat="1" x14ac:dyDescent="0.25">
      <c r="Q262" s="195"/>
      <c r="R262" s="195"/>
      <c r="S262" s="195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</row>
    <row r="263" spans="17:45" s="54" customFormat="1" x14ac:dyDescent="0.25">
      <c r="Q263" s="195"/>
      <c r="R263" s="195"/>
      <c r="S263" s="195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</row>
    <row r="264" spans="17:45" s="54" customFormat="1" x14ac:dyDescent="0.25">
      <c r="Q264" s="195"/>
      <c r="R264" s="195"/>
      <c r="S264" s="195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</row>
    <row r="265" spans="17:45" s="54" customFormat="1" x14ac:dyDescent="0.25">
      <c r="Q265" s="195"/>
      <c r="R265" s="195"/>
      <c r="S265" s="195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</row>
    <row r="266" spans="17:45" s="54" customFormat="1" x14ac:dyDescent="0.25">
      <c r="Q266" s="195"/>
      <c r="R266" s="195"/>
      <c r="S266" s="195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</row>
    <row r="267" spans="17:45" s="54" customFormat="1" x14ac:dyDescent="0.25">
      <c r="Q267" s="195"/>
      <c r="R267" s="195"/>
      <c r="S267" s="195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</row>
    <row r="268" spans="17:45" s="54" customFormat="1" x14ac:dyDescent="0.25">
      <c r="Q268" s="195"/>
      <c r="R268" s="195"/>
      <c r="S268" s="195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</row>
    <row r="269" spans="17:45" s="54" customFormat="1" x14ac:dyDescent="0.25">
      <c r="Q269" s="195"/>
      <c r="R269" s="195"/>
      <c r="S269" s="195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</row>
    <row r="270" spans="17:45" s="54" customFormat="1" x14ac:dyDescent="0.25">
      <c r="Q270" s="195"/>
      <c r="R270" s="195"/>
      <c r="S270" s="195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</row>
    <row r="271" spans="17:45" s="54" customFormat="1" x14ac:dyDescent="0.25">
      <c r="Q271" s="195"/>
      <c r="R271" s="195"/>
      <c r="S271" s="195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</row>
    <row r="272" spans="17:45" s="54" customFormat="1" x14ac:dyDescent="0.25">
      <c r="Q272" s="195"/>
      <c r="R272" s="195"/>
      <c r="S272" s="195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</row>
    <row r="273" spans="17:45" s="54" customFormat="1" x14ac:dyDescent="0.25">
      <c r="Q273" s="195"/>
      <c r="R273" s="195"/>
      <c r="S273" s="195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</row>
    <row r="274" spans="17:45" s="54" customFormat="1" x14ac:dyDescent="0.25">
      <c r="Q274" s="195"/>
      <c r="R274" s="195"/>
      <c r="S274" s="195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</row>
    <row r="275" spans="17:45" s="54" customFormat="1" x14ac:dyDescent="0.25">
      <c r="Q275" s="195"/>
      <c r="R275" s="195"/>
      <c r="S275" s="195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</row>
    <row r="276" spans="17:45" s="54" customFormat="1" x14ac:dyDescent="0.25">
      <c r="Q276" s="195"/>
      <c r="R276" s="195"/>
      <c r="S276" s="195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</row>
    <row r="277" spans="17:45" s="54" customFormat="1" x14ac:dyDescent="0.25">
      <c r="Q277" s="195"/>
      <c r="R277" s="195"/>
      <c r="S277" s="195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</row>
    <row r="278" spans="17:45" s="54" customFormat="1" x14ac:dyDescent="0.25">
      <c r="Q278" s="195"/>
      <c r="R278" s="195"/>
      <c r="S278" s="195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</row>
    <row r="279" spans="17:45" s="54" customFormat="1" x14ac:dyDescent="0.25">
      <c r="Q279" s="195"/>
      <c r="R279" s="195"/>
      <c r="S279" s="195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</row>
    <row r="280" spans="17:45" s="54" customFormat="1" x14ac:dyDescent="0.25">
      <c r="Q280" s="195"/>
      <c r="R280" s="195"/>
      <c r="S280" s="195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</row>
    <row r="281" spans="17:45" s="54" customFormat="1" x14ac:dyDescent="0.25">
      <c r="Q281" s="195"/>
      <c r="R281" s="195"/>
      <c r="S281" s="195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</row>
    <row r="282" spans="17:45" s="54" customFormat="1" x14ac:dyDescent="0.25">
      <c r="Q282" s="195"/>
      <c r="R282" s="195"/>
      <c r="S282" s="195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</row>
    <row r="283" spans="17:45" s="54" customFormat="1" x14ac:dyDescent="0.25">
      <c r="Q283" s="195"/>
      <c r="R283" s="195"/>
      <c r="S283" s="195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</row>
    <row r="284" spans="17:45" s="54" customFormat="1" x14ac:dyDescent="0.25">
      <c r="Q284" s="195"/>
      <c r="R284" s="195"/>
      <c r="S284" s="195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</row>
    <row r="285" spans="17:45" s="54" customFormat="1" x14ac:dyDescent="0.25">
      <c r="Q285" s="195"/>
      <c r="R285" s="195"/>
      <c r="S285" s="195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</row>
    <row r="286" spans="17:45" s="54" customFormat="1" x14ac:dyDescent="0.25">
      <c r="Q286" s="195"/>
      <c r="R286" s="195"/>
      <c r="S286" s="195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</row>
    <row r="287" spans="17:45" s="54" customFormat="1" x14ac:dyDescent="0.25">
      <c r="Q287" s="195"/>
      <c r="R287" s="195"/>
      <c r="S287" s="195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</row>
    <row r="288" spans="17:45" s="54" customFormat="1" x14ac:dyDescent="0.25">
      <c r="Q288" s="195"/>
      <c r="R288" s="195"/>
      <c r="S288" s="195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</row>
    <row r="289" spans="17:45" s="54" customFormat="1" x14ac:dyDescent="0.25">
      <c r="Q289" s="195"/>
      <c r="R289" s="195"/>
      <c r="S289" s="195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</row>
    <row r="290" spans="17:45" s="54" customFormat="1" x14ac:dyDescent="0.25">
      <c r="Q290" s="195"/>
      <c r="R290" s="195"/>
      <c r="S290" s="195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</row>
    <row r="291" spans="17:45" s="54" customFormat="1" x14ac:dyDescent="0.25">
      <c r="Q291" s="195"/>
      <c r="R291" s="195"/>
      <c r="S291" s="195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</row>
    <row r="292" spans="17:45" s="54" customFormat="1" x14ac:dyDescent="0.25">
      <c r="Q292" s="195"/>
      <c r="R292" s="195"/>
      <c r="S292" s="195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</row>
    <row r="293" spans="17:45" s="54" customFormat="1" x14ac:dyDescent="0.25">
      <c r="Q293" s="195"/>
      <c r="R293" s="195"/>
      <c r="S293" s="195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</row>
    <row r="294" spans="17:45" s="54" customFormat="1" x14ac:dyDescent="0.25">
      <c r="Q294" s="195"/>
      <c r="R294" s="195"/>
      <c r="S294" s="195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</row>
    <row r="295" spans="17:45" s="54" customFormat="1" x14ac:dyDescent="0.25">
      <c r="Q295" s="195"/>
      <c r="R295" s="195"/>
      <c r="S295" s="195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</row>
    <row r="296" spans="17:45" s="54" customFormat="1" x14ac:dyDescent="0.25">
      <c r="Q296" s="195"/>
      <c r="R296" s="195"/>
      <c r="S296" s="195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</row>
    <row r="297" spans="17:45" s="54" customFormat="1" x14ac:dyDescent="0.25">
      <c r="Q297" s="195"/>
      <c r="R297" s="195"/>
      <c r="S297" s="195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</row>
    <row r="298" spans="17:45" s="54" customFormat="1" x14ac:dyDescent="0.25">
      <c r="Q298" s="195"/>
      <c r="R298" s="195"/>
      <c r="S298" s="195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</row>
    <row r="299" spans="17:45" s="54" customFormat="1" x14ac:dyDescent="0.25">
      <c r="Q299" s="195"/>
      <c r="R299" s="195"/>
      <c r="S299" s="195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</row>
    <row r="300" spans="17:45" s="54" customFormat="1" x14ac:dyDescent="0.25">
      <c r="Q300" s="195"/>
      <c r="R300" s="195"/>
      <c r="S300" s="195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</row>
    <row r="301" spans="17:45" s="54" customFormat="1" x14ac:dyDescent="0.25">
      <c r="Q301" s="195"/>
      <c r="R301" s="195"/>
      <c r="S301" s="195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</row>
    <row r="302" spans="17:45" s="54" customFormat="1" x14ac:dyDescent="0.25">
      <c r="Q302" s="195"/>
      <c r="R302" s="195"/>
      <c r="S302" s="195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</row>
    <row r="303" spans="17:45" s="54" customFormat="1" x14ac:dyDescent="0.25">
      <c r="Q303" s="195"/>
      <c r="R303" s="195"/>
      <c r="S303" s="195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</row>
    <row r="304" spans="17:45" s="54" customFormat="1" x14ac:dyDescent="0.25">
      <c r="Q304" s="195"/>
      <c r="R304" s="195"/>
      <c r="S304" s="195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</row>
    <row r="305" spans="17:45" s="54" customFormat="1" x14ac:dyDescent="0.25">
      <c r="Q305" s="195"/>
      <c r="R305" s="195"/>
      <c r="S305" s="195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</row>
    <row r="306" spans="17:45" s="54" customFormat="1" x14ac:dyDescent="0.25">
      <c r="Q306" s="195"/>
      <c r="R306" s="195"/>
      <c r="S306" s="195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</row>
    <row r="307" spans="17:45" s="54" customFormat="1" x14ac:dyDescent="0.25">
      <c r="Q307" s="195"/>
      <c r="R307" s="195"/>
      <c r="S307" s="195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</row>
    <row r="308" spans="17:45" s="54" customFormat="1" x14ac:dyDescent="0.25">
      <c r="Q308" s="195"/>
      <c r="R308" s="195"/>
      <c r="S308" s="195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</row>
    <row r="309" spans="17:45" s="54" customFormat="1" x14ac:dyDescent="0.25">
      <c r="Q309" s="195"/>
      <c r="R309" s="195"/>
      <c r="S309" s="195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</row>
    <row r="310" spans="17:45" s="54" customFormat="1" x14ac:dyDescent="0.25">
      <c r="Q310" s="195"/>
      <c r="R310" s="195"/>
      <c r="S310" s="195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</row>
    <row r="311" spans="17:45" s="54" customFormat="1" x14ac:dyDescent="0.25">
      <c r="Q311" s="195"/>
      <c r="R311" s="195"/>
      <c r="S311" s="195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</row>
    <row r="312" spans="17:45" s="54" customFormat="1" x14ac:dyDescent="0.25">
      <c r="Q312" s="195"/>
      <c r="R312" s="195"/>
      <c r="S312" s="195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</row>
    <row r="313" spans="17:45" s="54" customFormat="1" x14ac:dyDescent="0.25">
      <c r="Q313" s="195"/>
      <c r="R313" s="195"/>
      <c r="S313" s="195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</row>
    <row r="314" spans="17:45" s="54" customFormat="1" x14ac:dyDescent="0.25">
      <c r="Q314" s="195"/>
      <c r="R314" s="195"/>
      <c r="S314" s="195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</row>
    <row r="315" spans="17:45" s="54" customFormat="1" x14ac:dyDescent="0.25">
      <c r="Q315" s="195"/>
      <c r="R315" s="195"/>
      <c r="S315" s="195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</row>
    <row r="316" spans="17:45" s="54" customFormat="1" x14ac:dyDescent="0.25">
      <c r="Q316" s="195"/>
      <c r="R316" s="195"/>
      <c r="S316" s="195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</row>
    <row r="317" spans="17:45" s="54" customFormat="1" x14ac:dyDescent="0.25">
      <c r="Q317" s="195"/>
      <c r="R317" s="195"/>
      <c r="S317" s="195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</row>
    <row r="318" spans="17:45" s="54" customFormat="1" x14ac:dyDescent="0.25">
      <c r="Q318" s="195"/>
      <c r="R318" s="195"/>
      <c r="S318" s="195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</row>
    <row r="319" spans="17:45" s="54" customFormat="1" x14ac:dyDescent="0.25">
      <c r="Q319" s="195"/>
      <c r="R319" s="195"/>
      <c r="S319" s="195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</row>
    <row r="320" spans="17:45" s="54" customFormat="1" x14ac:dyDescent="0.25">
      <c r="Q320" s="195"/>
      <c r="R320" s="195"/>
      <c r="S320" s="195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</row>
    <row r="321" spans="17:45" s="54" customFormat="1" x14ac:dyDescent="0.25">
      <c r="Q321" s="195"/>
      <c r="R321" s="195"/>
      <c r="S321" s="195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</row>
    <row r="322" spans="17:45" s="54" customFormat="1" x14ac:dyDescent="0.25">
      <c r="Q322" s="195"/>
      <c r="R322" s="195"/>
      <c r="S322" s="195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</row>
    <row r="323" spans="17:45" s="54" customFormat="1" x14ac:dyDescent="0.25">
      <c r="Q323" s="195"/>
      <c r="R323" s="195"/>
      <c r="S323" s="195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</row>
    <row r="324" spans="17:45" s="54" customFormat="1" x14ac:dyDescent="0.25">
      <c r="Q324" s="195"/>
      <c r="R324" s="195"/>
      <c r="S324" s="195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</row>
    <row r="325" spans="17:45" s="54" customFormat="1" x14ac:dyDescent="0.25">
      <c r="Q325" s="195"/>
      <c r="R325" s="195"/>
      <c r="S325" s="195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</row>
    <row r="326" spans="17:45" s="54" customFormat="1" x14ac:dyDescent="0.25">
      <c r="Q326" s="195"/>
      <c r="R326" s="195"/>
      <c r="S326" s="195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</row>
    <row r="327" spans="17:45" s="54" customFormat="1" x14ac:dyDescent="0.25">
      <c r="Q327" s="195"/>
      <c r="R327" s="195"/>
      <c r="S327" s="195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</row>
    <row r="328" spans="17:45" s="54" customFormat="1" x14ac:dyDescent="0.25">
      <c r="Q328" s="195"/>
      <c r="R328" s="195"/>
      <c r="S328" s="195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</row>
    <row r="329" spans="17:45" s="54" customFormat="1" x14ac:dyDescent="0.25">
      <c r="Q329" s="195"/>
      <c r="R329" s="195"/>
      <c r="S329" s="195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</row>
    <row r="330" spans="17:45" s="54" customFormat="1" x14ac:dyDescent="0.25">
      <c r="Q330" s="195"/>
      <c r="R330" s="195"/>
      <c r="S330" s="195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</row>
    <row r="331" spans="17:45" s="54" customFormat="1" x14ac:dyDescent="0.25">
      <c r="Q331" s="195"/>
      <c r="R331" s="195"/>
      <c r="S331" s="195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</row>
    <row r="332" spans="17:45" s="54" customFormat="1" x14ac:dyDescent="0.25">
      <c r="Q332" s="195"/>
      <c r="R332" s="195"/>
      <c r="S332" s="195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</row>
    <row r="333" spans="17:45" s="54" customFormat="1" x14ac:dyDescent="0.25">
      <c r="Q333" s="195"/>
      <c r="R333" s="195"/>
      <c r="S333" s="195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</row>
    <row r="334" spans="17:45" s="54" customFormat="1" x14ac:dyDescent="0.25">
      <c r="Q334" s="195"/>
      <c r="R334" s="195"/>
      <c r="S334" s="195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</row>
    <row r="335" spans="17:45" s="54" customFormat="1" x14ac:dyDescent="0.25">
      <c r="Q335" s="195"/>
      <c r="R335" s="195"/>
      <c r="S335" s="195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</row>
    <row r="336" spans="17:45" s="54" customFormat="1" x14ac:dyDescent="0.25">
      <c r="Q336" s="195"/>
      <c r="R336" s="195"/>
      <c r="S336" s="195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</row>
    <row r="337" spans="17:45" s="54" customFormat="1" x14ac:dyDescent="0.25">
      <c r="Q337" s="195"/>
      <c r="R337" s="195"/>
      <c r="S337" s="195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</row>
    <row r="338" spans="17:45" s="54" customFormat="1" x14ac:dyDescent="0.25">
      <c r="Q338" s="195"/>
      <c r="R338" s="195"/>
      <c r="S338" s="195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</row>
    <row r="339" spans="17:45" s="54" customFormat="1" x14ac:dyDescent="0.25">
      <c r="Q339" s="195"/>
      <c r="R339" s="195"/>
      <c r="S339" s="195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</row>
    <row r="340" spans="17:45" s="54" customFormat="1" x14ac:dyDescent="0.25">
      <c r="Q340" s="195"/>
      <c r="R340" s="195"/>
      <c r="S340" s="195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</row>
    <row r="341" spans="17:45" s="54" customFormat="1" x14ac:dyDescent="0.25">
      <c r="Q341" s="195"/>
      <c r="R341" s="195"/>
      <c r="S341" s="195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</row>
    <row r="342" spans="17:45" s="54" customFormat="1" x14ac:dyDescent="0.25">
      <c r="Q342" s="195"/>
      <c r="R342" s="195"/>
      <c r="S342" s="195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</row>
    <row r="343" spans="17:45" s="54" customFormat="1" x14ac:dyDescent="0.25">
      <c r="Q343" s="195"/>
      <c r="R343" s="195"/>
      <c r="S343" s="195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</row>
    <row r="344" spans="17:45" s="54" customFormat="1" x14ac:dyDescent="0.25">
      <c r="Q344" s="195"/>
      <c r="R344" s="195"/>
      <c r="S344" s="195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</row>
    <row r="345" spans="17:45" s="54" customFormat="1" x14ac:dyDescent="0.25">
      <c r="Q345" s="195"/>
      <c r="R345" s="195"/>
      <c r="S345" s="195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</row>
    <row r="346" spans="17:45" s="54" customFormat="1" x14ac:dyDescent="0.25">
      <c r="Q346" s="195"/>
      <c r="R346" s="195"/>
      <c r="S346" s="195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</row>
    <row r="347" spans="17:45" s="54" customFormat="1" x14ac:dyDescent="0.25">
      <c r="Q347" s="195"/>
      <c r="R347" s="195"/>
      <c r="S347" s="195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</row>
    <row r="348" spans="17:45" s="54" customFormat="1" x14ac:dyDescent="0.25">
      <c r="Q348" s="195"/>
      <c r="R348" s="195"/>
      <c r="S348" s="195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</row>
    <row r="349" spans="17:45" s="54" customFormat="1" x14ac:dyDescent="0.25">
      <c r="Q349" s="195"/>
      <c r="R349" s="195"/>
      <c r="S349" s="195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</row>
    <row r="350" spans="17:45" s="54" customFormat="1" x14ac:dyDescent="0.25">
      <c r="Q350" s="195"/>
      <c r="R350" s="195"/>
      <c r="S350" s="195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</row>
    <row r="351" spans="17:45" s="54" customFormat="1" x14ac:dyDescent="0.25">
      <c r="Q351" s="195"/>
      <c r="R351" s="195"/>
      <c r="S351" s="195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</row>
    <row r="352" spans="17:45" s="54" customFormat="1" x14ac:dyDescent="0.25">
      <c r="Q352" s="195"/>
      <c r="R352" s="195"/>
      <c r="S352" s="195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</row>
    <row r="353" spans="17:45" s="54" customFormat="1" x14ac:dyDescent="0.25">
      <c r="Q353" s="195"/>
      <c r="R353" s="195"/>
      <c r="S353" s="195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</row>
    <row r="354" spans="17:45" s="54" customFormat="1" x14ac:dyDescent="0.25">
      <c r="Q354" s="195"/>
      <c r="R354" s="195"/>
      <c r="S354" s="195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</row>
    <row r="355" spans="17:45" s="54" customFormat="1" x14ac:dyDescent="0.25">
      <c r="Q355" s="195"/>
      <c r="R355" s="195"/>
      <c r="S355" s="195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</row>
    <row r="356" spans="17:45" s="54" customFormat="1" x14ac:dyDescent="0.25">
      <c r="Q356" s="195"/>
      <c r="R356" s="195"/>
      <c r="S356" s="195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</row>
    <row r="357" spans="17:45" s="54" customFormat="1" x14ac:dyDescent="0.25">
      <c r="Q357" s="195"/>
      <c r="R357" s="195"/>
      <c r="S357" s="195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</row>
    <row r="358" spans="17:45" s="54" customFormat="1" x14ac:dyDescent="0.25">
      <c r="Q358" s="195"/>
      <c r="R358" s="195"/>
      <c r="S358" s="195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</row>
    <row r="359" spans="17:45" s="54" customFormat="1" x14ac:dyDescent="0.25">
      <c r="Q359" s="195"/>
      <c r="R359" s="195"/>
      <c r="S359" s="195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</row>
    <row r="360" spans="17:45" s="54" customFormat="1" x14ac:dyDescent="0.25">
      <c r="Q360" s="195"/>
      <c r="R360" s="195"/>
      <c r="S360" s="195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</row>
    <row r="361" spans="17:45" s="54" customFormat="1" x14ac:dyDescent="0.25">
      <c r="Q361" s="195"/>
      <c r="R361" s="195"/>
      <c r="S361" s="195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</row>
    <row r="362" spans="17:45" s="54" customFormat="1" x14ac:dyDescent="0.25">
      <c r="Q362" s="195"/>
      <c r="R362" s="195"/>
      <c r="S362" s="195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</row>
    <row r="363" spans="17:45" s="54" customFormat="1" x14ac:dyDescent="0.25">
      <c r="Q363" s="195"/>
      <c r="R363" s="195"/>
      <c r="S363" s="195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</row>
    <row r="364" spans="17:45" s="54" customFormat="1" x14ac:dyDescent="0.25">
      <c r="Q364" s="195"/>
      <c r="R364" s="195"/>
      <c r="S364" s="195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</row>
    <row r="365" spans="17:45" s="54" customFormat="1" x14ac:dyDescent="0.25">
      <c r="Q365" s="195"/>
      <c r="R365" s="195"/>
      <c r="S365" s="195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</row>
    <row r="366" spans="17:45" s="54" customFormat="1" x14ac:dyDescent="0.25">
      <c r="Q366" s="195"/>
      <c r="R366" s="195"/>
      <c r="S366" s="195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</row>
    <row r="367" spans="17:45" s="54" customFormat="1" x14ac:dyDescent="0.25">
      <c r="Q367" s="195"/>
      <c r="R367" s="195"/>
      <c r="S367" s="195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</row>
    <row r="368" spans="17:45" s="54" customFormat="1" x14ac:dyDescent="0.25">
      <c r="Q368" s="195"/>
      <c r="R368" s="195"/>
      <c r="S368" s="195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</row>
    <row r="369" spans="17:45" s="54" customFormat="1" x14ac:dyDescent="0.25">
      <c r="Q369" s="195"/>
      <c r="R369" s="195"/>
      <c r="S369" s="195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</row>
    <row r="370" spans="17:45" s="54" customFormat="1" x14ac:dyDescent="0.25">
      <c r="Q370" s="195"/>
      <c r="R370" s="195"/>
      <c r="S370" s="195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</row>
    <row r="371" spans="17:45" s="54" customFormat="1" x14ac:dyDescent="0.25">
      <c r="Q371" s="195"/>
      <c r="R371" s="195"/>
      <c r="S371" s="195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</row>
    <row r="372" spans="17:45" s="54" customFormat="1" x14ac:dyDescent="0.25">
      <c r="Q372" s="195"/>
      <c r="R372" s="195"/>
      <c r="S372" s="195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</row>
    <row r="373" spans="17:45" s="54" customFormat="1" x14ac:dyDescent="0.25">
      <c r="Q373" s="195"/>
      <c r="R373" s="195"/>
      <c r="S373" s="195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</row>
    <row r="374" spans="17:45" s="54" customFormat="1" x14ac:dyDescent="0.25">
      <c r="Q374" s="195"/>
      <c r="R374" s="195"/>
      <c r="S374" s="195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</row>
    <row r="375" spans="17:45" s="54" customFormat="1" x14ac:dyDescent="0.25">
      <c r="Q375" s="195"/>
      <c r="R375" s="195"/>
      <c r="S375" s="195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</row>
    <row r="376" spans="17:45" s="54" customFormat="1" x14ac:dyDescent="0.25">
      <c r="Q376" s="195"/>
      <c r="R376" s="195"/>
      <c r="S376" s="195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</row>
    <row r="377" spans="17:45" s="54" customFormat="1" x14ac:dyDescent="0.25">
      <c r="Q377" s="195"/>
      <c r="R377" s="195"/>
      <c r="S377" s="195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</row>
    <row r="378" spans="17:45" s="54" customFormat="1" x14ac:dyDescent="0.25">
      <c r="Q378" s="195"/>
      <c r="R378" s="195"/>
      <c r="S378" s="195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</row>
    <row r="379" spans="17:45" s="54" customFormat="1" x14ac:dyDescent="0.25">
      <c r="Q379" s="195"/>
      <c r="R379" s="195"/>
      <c r="S379" s="195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</row>
    <row r="380" spans="17:45" s="54" customFormat="1" x14ac:dyDescent="0.25">
      <c r="Q380" s="195"/>
      <c r="R380" s="195"/>
      <c r="S380" s="195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</row>
    <row r="381" spans="17:45" s="54" customFormat="1" x14ac:dyDescent="0.25">
      <c r="Q381" s="195"/>
      <c r="R381" s="195"/>
      <c r="S381" s="195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</row>
    <row r="382" spans="17:45" s="54" customFormat="1" x14ac:dyDescent="0.25">
      <c r="Q382" s="195"/>
      <c r="R382" s="195"/>
      <c r="S382" s="195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</row>
    <row r="383" spans="17:45" s="54" customFormat="1" x14ac:dyDescent="0.25">
      <c r="Q383" s="195"/>
      <c r="R383" s="195"/>
      <c r="S383" s="195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</row>
    <row r="384" spans="17:45" s="54" customFormat="1" x14ac:dyDescent="0.25">
      <c r="Q384" s="195"/>
      <c r="R384" s="195"/>
      <c r="S384" s="195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</row>
    <row r="385" spans="17:45" s="54" customFormat="1" x14ac:dyDescent="0.25">
      <c r="Q385" s="195"/>
      <c r="R385" s="195"/>
      <c r="S385" s="195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</row>
    <row r="386" spans="17:45" s="54" customFormat="1" x14ac:dyDescent="0.25">
      <c r="Q386" s="195"/>
      <c r="R386" s="195"/>
      <c r="S386" s="195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</row>
    <row r="387" spans="17:45" s="54" customFormat="1" x14ac:dyDescent="0.25">
      <c r="Q387" s="195"/>
      <c r="R387" s="195"/>
      <c r="S387" s="195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</row>
    <row r="388" spans="17:45" s="54" customFormat="1" x14ac:dyDescent="0.25">
      <c r="Q388" s="195"/>
      <c r="R388" s="195"/>
      <c r="S388" s="195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</row>
    <row r="389" spans="17:45" s="54" customFormat="1" x14ac:dyDescent="0.25">
      <c r="Q389" s="195"/>
      <c r="R389" s="195"/>
      <c r="S389" s="195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</row>
    <row r="390" spans="17:45" s="54" customFormat="1" x14ac:dyDescent="0.25">
      <c r="Q390" s="195"/>
      <c r="R390" s="195"/>
      <c r="S390" s="195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</row>
    <row r="391" spans="17:45" s="54" customFormat="1" x14ac:dyDescent="0.25">
      <c r="Q391" s="195"/>
      <c r="R391" s="195"/>
      <c r="S391" s="195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</row>
    <row r="392" spans="17:45" s="54" customFormat="1" x14ac:dyDescent="0.25">
      <c r="Q392" s="195"/>
      <c r="R392" s="195"/>
      <c r="S392" s="195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</row>
    <row r="393" spans="17:45" s="54" customFormat="1" x14ac:dyDescent="0.25">
      <c r="Q393" s="195"/>
      <c r="R393" s="195"/>
      <c r="S393" s="195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</row>
    <row r="394" spans="17:45" s="54" customFormat="1" x14ac:dyDescent="0.25">
      <c r="Q394" s="195"/>
      <c r="R394" s="195"/>
      <c r="S394" s="195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</row>
    <row r="395" spans="17:45" s="54" customFormat="1" x14ac:dyDescent="0.25">
      <c r="Q395" s="195"/>
      <c r="R395" s="195"/>
      <c r="S395" s="195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</row>
    <row r="396" spans="17:45" s="54" customFormat="1" x14ac:dyDescent="0.25">
      <c r="Q396" s="195"/>
      <c r="R396" s="195"/>
      <c r="S396" s="195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</row>
    <row r="397" spans="17:45" s="54" customFormat="1" x14ac:dyDescent="0.25">
      <c r="Q397" s="195"/>
      <c r="R397" s="195"/>
      <c r="S397" s="195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</row>
    <row r="398" spans="17:45" s="54" customFormat="1" x14ac:dyDescent="0.25">
      <c r="Q398" s="195"/>
      <c r="R398" s="195"/>
      <c r="S398" s="195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</row>
    <row r="399" spans="17:45" s="54" customFormat="1" x14ac:dyDescent="0.25">
      <c r="Q399" s="195"/>
      <c r="R399" s="195"/>
      <c r="S399" s="195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</row>
    <row r="400" spans="17:45" s="54" customFormat="1" x14ac:dyDescent="0.25">
      <c r="Q400" s="195"/>
      <c r="R400" s="195"/>
      <c r="S400" s="195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</row>
    <row r="401" spans="17:45" s="54" customFormat="1" x14ac:dyDescent="0.25">
      <c r="Q401" s="195"/>
      <c r="R401" s="195"/>
      <c r="S401" s="195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</row>
    <row r="402" spans="17:45" s="54" customFormat="1" x14ac:dyDescent="0.25">
      <c r="Q402" s="195"/>
      <c r="R402" s="195"/>
      <c r="S402" s="195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</row>
    <row r="403" spans="17:45" s="54" customFormat="1" x14ac:dyDescent="0.25">
      <c r="Q403" s="195"/>
      <c r="R403" s="195"/>
      <c r="S403" s="195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</row>
    <row r="404" spans="17:45" s="54" customFormat="1" x14ac:dyDescent="0.25">
      <c r="Q404" s="195"/>
      <c r="R404" s="195"/>
      <c r="S404" s="195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</row>
    <row r="405" spans="17:45" s="54" customFormat="1" x14ac:dyDescent="0.25">
      <c r="Q405" s="195"/>
      <c r="R405" s="195"/>
      <c r="S405" s="195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</row>
    <row r="406" spans="17:45" s="54" customFormat="1" x14ac:dyDescent="0.25">
      <c r="Q406" s="195"/>
      <c r="R406" s="195"/>
      <c r="S406" s="195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</row>
    <row r="407" spans="17:45" s="54" customFormat="1" x14ac:dyDescent="0.25">
      <c r="Q407" s="195"/>
      <c r="R407" s="195"/>
      <c r="S407" s="195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</row>
    <row r="408" spans="17:45" s="54" customFormat="1" x14ac:dyDescent="0.25">
      <c r="Q408" s="195"/>
      <c r="R408" s="195"/>
      <c r="S408" s="195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</row>
    <row r="409" spans="17:45" s="54" customFormat="1" x14ac:dyDescent="0.25">
      <c r="Q409" s="195"/>
      <c r="R409" s="195"/>
      <c r="S409" s="195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</row>
    <row r="410" spans="17:45" s="54" customFormat="1" x14ac:dyDescent="0.25">
      <c r="Q410" s="195"/>
      <c r="R410" s="195"/>
      <c r="S410" s="195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</row>
    <row r="411" spans="17:45" s="54" customFormat="1" x14ac:dyDescent="0.25">
      <c r="Q411" s="195"/>
      <c r="R411" s="195"/>
      <c r="S411" s="195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</row>
    <row r="412" spans="17:45" s="54" customFormat="1" x14ac:dyDescent="0.25">
      <c r="Q412" s="195"/>
      <c r="R412" s="195"/>
      <c r="S412" s="195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</row>
    <row r="413" spans="17:45" s="54" customFormat="1" x14ac:dyDescent="0.25">
      <c r="Q413" s="195"/>
      <c r="R413" s="195"/>
      <c r="S413" s="195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</row>
    <row r="414" spans="17:45" s="54" customFormat="1" x14ac:dyDescent="0.25">
      <c r="Q414" s="195"/>
      <c r="R414" s="195"/>
      <c r="S414" s="195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</row>
    <row r="415" spans="17:45" s="54" customFormat="1" x14ac:dyDescent="0.25">
      <c r="Q415" s="195"/>
      <c r="R415" s="195"/>
      <c r="S415" s="195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</row>
    <row r="416" spans="17:45" s="54" customFormat="1" x14ac:dyDescent="0.25">
      <c r="Q416" s="195"/>
      <c r="R416" s="195"/>
      <c r="S416" s="195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</row>
    <row r="417" spans="17:45" s="54" customFormat="1" x14ac:dyDescent="0.25">
      <c r="Q417" s="195"/>
      <c r="R417" s="195"/>
      <c r="S417" s="195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</row>
    <row r="418" spans="17:45" s="54" customFormat="1" x14ac:dyDescent="0.25">
      <c r="Q418" s="195"/>
      <c r="R418" s="195"/>
      <c r="S418" s="195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</row>
    <row r="419" spans="17:45" s="54" customFormat="1" x14ac:dyDescent="0.25">
      <c r="Q419" s="195"/>
      <c r="R419" s="195"/>
      <c r="S419" s="195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</row>
    <row r="420" spans="17:45" s="54" customFormat="1" x14ac:dyDescent="0.25">
      <c r="Q420" s="195"/>
      <c r="R420" s="195"/>
      <c r="S420" s="195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</row>
    <row r="421" spans="17:45" s="54" customFormat="1" x14ac:dyDescent="0.25">
      <c r="Q421" s="195"/>
      <c r="R421" s="195"/>
      <c r="S421" s="195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</row>
    <row r="422" spans="17:45" s="54" customFormat="1" x14ac:dyDescent="0.25">
      <c r="Q422" s="195"/>
      <c r="R422" s="195"/>
      <c r="S422" s="195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</row>
    <row r="423" spans="17:45" s="54" customFormat="1" x14ac:dyDescent="0.25">
      <c r="Q423" s="195"/>
      <c r="R423" s="195"/>
      <c r="S423" s="195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</row>
    <row r="424" spans="17:45" s="54" customFormat="1" x14ac:dyDescent="0.25">
      <c r="Q424" s="195"/>
      <c r="R424" s="195"/>
      <c r="S424" s="195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</row>
    <row r="425" spans="17:45" s="54" customFormat="1" x14ac:dyDescent="0.25">
      <c r="Q425" s="195"/>
      <c r="R425" s="195"/>
      <c r="S425" s="195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</row>
    <row r="426" spans="17:45" s="54" customFormat="1" x14ac:dyDescent="0.25">
      <c r="Q426" s="195"/>
      <c r="R426" s="195"/>
      <c r="S426" s="195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</row>
    <row r="427" spans="17:45" s="54" customFormat="1" x14ac:dyDescent="0.25">
      <c r="Q427" s="195"/>
      <c r="R427" s="195"/>
      <c r="S427" s="195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</row>
    <row r="428" spans="17:45" s="54" customFormat="1" x14ac:dyDescent="0.25">
      <c r="Q428" s="195"/>
      <c r="R428" s="195"/>
      <c r="S428" s="195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</row>
    <row r="429" spans="17:45" s="54" customFormat="1" x14ac:dyDescent="0.25">
      <c r="Q429" s="195"/>
      <c r="R429" s="195"/>
      <c r="S429" s="195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</row>
    <row r="430" spans="17:45" s="54" customFormat="1" x14ac:dyDescent="0.25">
      <c r="Q430" s="195"/>
      <c r="R430" s="195"/>
      <c r="S430" s="195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</row>
    <row r="431" spans="17:45" s="54" customFormat="1" x14ac:dyDescent="0.25">
      <c r="Q431" s="195"/>
      <c r="R431" s="195"/>
      <c r="S431" s="195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</row>
    <row r="432" spans="17:45" s="54" customFormat="1" x14ac:dyDescent="0.25">
      <c r="Q432" s="195"/>
      <c r="R432" s="195"/>
      <c r="S432" s="195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</row>
    <row r="433" spans="17:45" s="54" customFormat="1" x14ac:dyDescent="0.25">
      <c r="Q433" s="195"/>
      <c r="R433" s="195"/>
      <c r="S433" s="195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</row>
    <row r="434" spans="17:45" s="54" customFormat="1" x14ac:dyDescent="0.25">
      <c r="Q434" s="195"/>
      <c r="R434" s="195"/>
      <c r="S434" s="195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</row>
    <row r="435" spans="17:45" s="54" customFormat="1" x14ac:dyDescent="0.25">
      <c r="Q435" s="195"/>
      <c r="R435" s="195"/>
      <c r="S435" s="195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</row>
    <row r="436" spans="17:45" s="54" customFormat="1" x14ac:dyDescent="0.25">
      <c r="Q436" s="195"/>
      <c r="R436" s="195"/>
      <c r="S436" s="195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</row>
    <row r="437" spans="17:45" s="54" customFormat="1" x14ac:dyDescent="0.25">
      <c r="Q437" s="195"/>
      <c r="R437" s="195"/>
      <c r="S437" s="195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</row>
    <row r="438" spans="17:45" s="54" customFormat="1" x14ac:dyDescent="0.25">
      <c r="Q438" s="195"/>
      <c r="R438" s="195"/>
      <c r="S438" s="195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</row>
    <row r="439" spans="17:45" s="54" customFormat="1" x14ac:dyDescent="0.25">
      <c r="Q439" s="195"/>
      <c r="R439" s="195"/>
      <c r="S439" s="195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</row>
    <row r="440" spans="17:45" s="54" customFormat="1" x14ac:dyDescent="0.25">
      <c r="Q440" s="195"/>
      <c r="R440" s="195"/>
      <c r="S440" s="195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</row>
    <row r="441" spans="17:45" s="54" customFormat="1" x14ac:dyDescent="0.25">
      <c r="Q441" s="195"/>
      <c r="R441" s="195"/>
      <c r="S441" s="195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</row>
    <row r="442" spans="17:45" s="54" customFormat="1" x14ac:dyDescent="0.25">
      <c r="Q442" s="195"/>
      <c r="R442" s="195"/>
      <c r="S442" s="195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</row>
    <row r="443" spans="17:45" s="54" customFormat="1" x14ac:dyDescent="0.25">
      <c r="Q443" s="195"/>
      <c r="R443" s="195"/>
      <c r="S443" s="195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</row>
    <row r="444" spans="17:45" s="54" customFormat="1" x14ac:dyDescent="0.25">
      <c r="Q444" s="195"/>
      <c r="R444" s="195"/>
      <c r="S444" s="195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</row>
    <row r="445" spans="17:45" s="54" customFormat="1" x14ac:dyDescent="0.25">
      <c r="Q445" s="195"/>
      <c r="R445" s="195"/>
      <c r="S445" s="195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</row>
    <row r="446" spans="17:45" s="54" customFormat="1" x14ac:dyDescent="0.25">
      <c r="Q446" s="195"/>
      <c r="R446" s="195"/>
      <c r="S446" s="195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</row>
    <row r="447" spans="17:45" s="54" customFormat="1" x14ac:dyDescent="0.25">
      <c r="Q447" s="195"/>
      <c r="R447" s="195"/>
      <c r="S447" s="195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</row>
  </sheetData>
  <autoFilter ref="A14:BN41" xr:uid="{1F931B00-415B-4EF5-9B51-CE7043A6D7C0}"/>
  <mergeCells count="15">
    <mergeCell ref="L13:P13"/>
    <mergeCell ref="Q13:S13"/>
    <mergeCell ref="D44:H44"/>
    <mergeCell ref="L44:O44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40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DCB6E-E7DD-4A8C-ADC1-BFBE57C393A7}">
  <sheetPr>
    <tabColor rgb="FF00B050"/>
    <pageSetUpPr fitToPage="1"/>
  </sheetPr>
  <dimension ref="A1:BQ493"/>
  <sheetViews>
    <sheetView showZeros="0" topLeftCell="A73" zoomScaleNormal="100" workbookViewId="0">
      <selection activeCell="F86" sqref="F15:P86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7" width="8.28515625" style="4" customWidth="1"/>
    <col min="8" max="15" width="10.7109375" style="4" customWidth="1"/>
    <col min="16" max="16" width="13.28515625" style="4" customWidth="1"/>
    <col min="17" max="19" width="5.7109375" style="195" customWidth="1" outlineLevel="1"/>
    <col min="20" max="22" width="10.7109375" style="90" customWidth="1" outlineLevel="1"/>
    <col min="23" max="45" width="10.7109375" style="90" customWidth="1"/>
    <col min="46" max="66" width="8.85546875" style="54"/>
    <col min="67" max="16384" width="8.85546875" style="4"/>
  </cols>
  <sheetData>
    <row r="1" spans="1:66" ht="15" x14ac:dyDescent="0.2">
      <c r="A1" s="408" t="s">
        <v>396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66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66" ht="15" x14ac:dyDescent="0.2">
      <c r="A3" s="409" t="str">
        <f>Kopsavilkums!C23</f>
        <v>Grīdas konstrukcija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4" spans="1:66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</row>
    <row r="5" spans="1:66" x14ac:dyDescent="0.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66" x14ac:dyDescent="0.2">
      <c r="A6" s="1" t="s">
        <v>64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66" x14ac:dyDescent="0.2">
      <c r="A7" s="1" t="s">
        <v>65</v>
      </c>
      <c r="B7" s="8"/>
      <c r="C7" s="12"/>
      <c r="D7" s="10"/>
      <c r="E7" s="5"/>
      <c r="F7" s="10"/>
      <c r="G7" s="10"/>
      <c r="H7" s="11"/>
      <c r="I7" s="13"/>
      <c r="J7" s="11"/>
      <c r="K7" s="13"/>
      <c r="L7" s="11"/>
      <c r="M7" s="11"/>
      <c r="N7" s="11"/>
      <c r="O7" s="11"/>
      <c r="P7" s="11"/>
    </row>
    <row r="8" spans="1:66" x14ac:dyDescent="0.2">
      <c r="A8" s="2" t="s">
        <v>66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3"/>
      <c r="M8" s="11"/>
      <c r="N8" s="11"/>
      <c r="O8" s="11"/>
      <c r="P8" s="11"/>
    </row>
    <row r="9" spans="1:66" x14ac:dyDescent="0.2">
      <c r="A9" s="1" t="s">
        <v>54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0</v>
      </c>
      <c r="P9" s="18">
        <f>P87</f>
        <v>0</v>
      </c>
    </row>
    <row r="10" spans="1:66" ht="4.9000000000000004" customHeight="1" x14ac:dyDescent="0.2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66" x14ac:dyDescent="0.2">
      <c r="A11" s="107" t="s">
        <v>67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 xml:space="preserve">Tāme sastādīta: </v>
      </c>
    </row>
    <row r="12" spans="1:66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66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</v>
      </c>
      <c r="E13" s="418" t="s">
        <v>5</v>
      </c>
      <c r="F13" s="412" t="s">
        <v>6</v>
      </c>
      <c r="G13" s="420" t="s">
        <v>19</v>
      </c>
      <c r="H13" s="404" t="s">
        <v>7</v>
      </c>
      <c r="I13" s="405"/>
      <c r="J13" s="405"/>
      <c r="K13" s="406"/>
      <c r="L13" s="405" t="s">
        <v>8</v>
      </c>
      <c r="M13" s="405"/>
      <c r="N13" s="405"/>
      <c r="O13" s="405"/>
      <c r="P13" s="406"/>
      <c r="Q13" s="403"/>
      <c r="R13" s="403"/>
      <c r="S13" s="403"/>
    </row>
    <row r="14" spans="1:66" ht="34.9" customHeight="1" thickBot="1" x14ac:dyDescent="0.25">
      <c r="A14" s="413"/>
      <c r="B14" s="415"/>
      <c r="C14" s="415"/>
      <c r="D14" s="417"/>
      <c r="E14" s="419"/>
      <c r="F14" s="413"/>
      <c r="G14" s="421"/>
      <c r="H14" s="56" t="s">
        <v>17</v>
      </c>
      <c r="I14" s="60" t="s">
        <v>16</v>
      </c>
      <c r="J14" s="57" t="s">
        <v>15</v>
      </c>
      <c r="K14" s="58" t="s">
        <v>18</v>
      </c>
      <c r="L14" s="58" t="s">
        <v>9</v>
      </c>
      <c r="M14" s="56" t="s">
        <v>17</v>
      </c>
      <c r="N14" s="60" t="s">
        <v>16</v>
      </c>
      <c r="O14" s="57" t="s">
        <v>15</v>
      </c>
      <c r="P14" s="59" t="s">
        <v>14</v>
      </c>
      <c r="Q14" s="196"/>
      <c r="R14" s="196"/>
      <c r="S14" s="196"/>
    </row>
    <row r="15" spans="1:66" x14ac:dyDescent="0.2">
      <c r="A15" s="333"/>
      <c r="B15" s="138"/>
      <c r="C15" s="177" t="str">
        <f>A3</f>
        <v>Grīdas konstrukcija</v>
      </c>
      <c r="D15" s="139"/>
      <c r="E15" s="140"/>
      <c r="F15" s="26"/>
      <c r="G15" s="61"/>
      <c r="H15" s="26"/>
      <c r="I15" s="27"/>
      <c r="J15" s="27"/>
      <c r="K15" s="25"/>
      <c r="L15" s="25"/>
      <c r="M15" s="26"/>
      <c r="N15" s="27"/>
      <c r="O15" s="28"/>
      <c r="P15" s="29"/>
    </row>
    <row r="16" spans="1:66" s="184" customFormat="1" ht="12.75" x14ac:dyDescent="0.15">
      <c r="A16" s="334"/>
      <c r="B16" s="186"/>
      <c r="C16" s="235" t="s">
        <v>500</v>
      </c>
      <c r="D16" s="188" t="s">
        <v>43</v>
      </c>
      <c r="E16" s="189">
        <v>193.1</v>
      </c>
      <c r="F16" s="26"/>
      <c r="G16" s="61"/>
      <c r="H16" s="26"/>
      <c r="I16" s="27"/>
      <c r="J16" s="27"/>
      <c r="K16" s="25"/>
      <c r="L16" s="25"/>
      <c r="M16" s="26"/>
      <c r="N16" s="27"/>
      <c r="O16" s="28"/>
      <c r="P16" s="29"/>
      <c r="Q16" s="195"/>
      <c r="R16" s="195"/>
      <c r="S16" s="195"/>
      <c r="T16" s="90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</row>
    <row r="17" spans="1:69" ht="22.5" x14ac:dyDescent="0.2">
      <c r="A17" s="338">
        <v>1</v>
      </c>
      <c r="B17" s="125"/>
      <c r="C17" s="206" t="s">
        <v>720</v>
      </c>
      <c r="D17" s="180" t="s">
        <v>43</v>
      </c>
      <c r="E17" s="181">
        <f>E16</f>
        <v>193.1</v>
      </c>
      <c r="F17" s="26"/>
      <c r="G17" s="61"/>
      <c r="H17" s="26"/>
      <c r="I17" s="27"/>
      <c r="J17" s="27"/>
      <c r="K17" s="25"/>
      <c r="L17" s="25"/>
      <c r="M17" s="26"/>
      <c r="N17" s="27"/>
      <c r="O17" s="28"/>
      <c r="P17" s="29"/>
    </row>
    <row r="18" spans="1:69" x14ac:dyDescent="0.2">
      <c r="A18" s="339"/>
      <c r="B18" s="125"/>
      <c r="C18" s="185" t="s">
        <v>501</v>
      </c>
      <c r="D18" s="180" t="s">
        <v>42</v>
      </c>
      <c r="E18" s="181">
        <f>ROUND(E17*0.55*1.25,1)</f>
        <v>132.80000000000001</v>
      </c>
      <c r="F18" s="26"/>
      <c r="G18" s="61"/>
      <c r="H18" s="26"/>
      <c r="I18" s="27"/>
      <c r="J18" s="27"/>
      <c r="K18" s="25"/>
      <c r="L18" s="25"/>
      <c r="M18" s="26"/>
      <c r="N18" s="27"/>
      <c r="O18" s="28"/>
      <c r="P18" s="29"/>
    </row>
    <row r="19" spans="1:69" s="184" customFormat="1" ht="22.5" x14ac:dyDescent="0.15">
      <c r="A19" s="284" t="s">
        <v>35</v>
      </c>
      <c r="B19" s="182"/>
      <c r="C19" s="179" t="s">
        <v>502</v>
      </c>
      <c r="D19" s="180" t="s">
        <v>43</v>
      </c>
      <c r="E19" s="183">
        <f>E17</f>
        <v>193.1</v>
      </c>
      <c r="F19" s="26"/>
      <c r="G19" s="61"/>
      <c r="H19" s="26"/>
      <c r="I19" s="27"/>
      <c r="J19" s="27"/>
      <c r="K19" s="25"/>
      <c r="L19" s="25"/>
      <c r="M19" s="26"/>
      <c r="N19" s="27"/>
      <c r="O19" s="28"/>
      <c r="P19" s="29"/>
      <c r="Q19" s="195"/>
      <c r="R19" s="195"/>
      <c r="S19" s="195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</row>
    <row r="20" spans="1:69" s="184" customFormat="1" ht="11.25" x14ac:dyDescent="0.15">
      <c r="A20" s="334"/>
      <c r="B20" s="176"/>
      <c r="C20" s="185" t="s">
        <v>267</v>
      </c>
      <c r="D20" s="180" t="s">
        <v>42</v>
      </c>
      <c r="E20" s="183">
        <f>ROUND(E19*0.15*1.2,2)</f>
        <v>34.76</v>
      </c>
      <c r="F20" s="26"/>
      <c r="G20" s="61"/>
      <c r="H20" s="26"/>
      <c r="I20" s="27"/>
      <c r="J20" s="27"/>
      <c r="K20" s="25"/>
      <c r="L20" s="25"/>
      <c r="M20" s="26"/>
      <c r="N20" s="27"/>
      <c r="O20" s="28"/>
      <c r="P20" s="29"/>
      <c r="Q20" s="195"/>
      <c r="R20" s="195"/>
      <c r="S20" s="195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</row>
    <row r="21" spans="1:69" s="184" customFormat="1" ht="11.25" x14ac:dyDescent="0.15">
      <c r="A21" s="284" t="s">
        <v>36</v>
      </c>
      <c r="B21" s="182"/>
      <c r="C21" s="206" t="s">
        <v>531</v>
      </c>
      <c r="D21" s="180" t="s">
        <v>43</v>
      </c>
      <c r="E21" s="181">
        <f>E19</f>
        <v>193.1</v>
      </c>
      <c r="F21" s="26"/>
      <c r="G21" s="61"/>
      <c r="H21" s="26"/>
      <c r="I21" s="27"/>
      <c r="J21" s="27"/>
      <c r="K21" s="25"/>
      <c r="L21" s="25"/>
      <c r="M21" s="26"/>
      <c r="N21" s="27"/>
      <c r="O21" s="28"/>
      <c r="P21" s="29"/>
      <c r="Q21" s="195"/>
      <c r="R21" s="195"/>
      <c r="S21" s="195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</row>
    <row r="22" spans="1:69" s="184" customFormat="1" ht="22.5" x14ac:dyDescent="0.15">
      <c r="A22" s="334"/>
      <c r="B22" s="182"/>
      <c r="C22" s="185" t="s">
        <v>503</v>
      </c>
      <c r="D22" s="180" t="s">
        <v>43</v>
      </c>
      <c r="E22" s="181">
        <f>ROUND(E21*1.15,2)</f>
        <v>222.07</v>
      </c>
      <c r="F22" s="26"/>
      <c r="G22" s="61"/>
      <c r="H22" s="26"/>
      <c r="I22" s="27"/>
      <c r="J22" s="27"/>
      <c r="K22" s="25"/>
      <c r="L22" s="25"/>
      <c r="M22" s="26"/>
      <c r="N22" s="27"/>
      <c r="O22" s="28"/>
      <c r="P22" s="29"/>
      <c r="Q22" s="195"/>
      <c r="R22" s="195"/>
      <c r="S22" s="195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</row>
    <row r="23" spans="1:69" s="184" customFormat="1" ht="22.5" x14ac:dyDescent="0.15">
      <c r="A23" s="284" t="s">
        <v>37</v>
      </c>
      <c r="B23" s="176"/>
      <c r="C23" s="179" t="s">
        <v>507</v>
      </c>
      <c r="D23" s="180" t="s">
        <v>43</v>
      </c>
      <c r="E23" s="183">
        <f>E21</f>
        <v>193.1</v>
      </c>
      <c r="F23" s="26"/>
      <c r="G23" s="61"/>
      <c r="H23" s="26"/>
      <c r="I23" s="27"/>
      <c r="J23" s="27"/>
      <c r="K23" s="25"/>
      <c r="L23" s="25"/>
      <c r="M23" s="26"/>
      <c r="N23" s="27"/>
      <c r="O23" s="28"/>
      <c r="P23" s="29"/>
      <c r="Q23" s="195"/>
      <c r="R23" s="195"/>
      <c r="S23" s="195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</row>
    <row r="24" spans="1:69" s="184" customFormat="1" ht="11.25" x14ac:dyDescent="0.15">
      <c r="A24" s="334"/>
      <c r="B24" s="186"/>
      <c r="C24" s="208" t="s">
        <v>504</v>
      </c>
      <c r="D24" s="209" t="s">
        <v>43</v>
      </c>
      <c r="E24" s="210">
        <f>ROUND(E23*1.1,2)</f>
        <v>212.41</v>
      </c>
      <c r="F24" s="26"/>
      <c r="G24" s="61"/>
      <c r="H24" s="26"/>
      <c r="I24" s="27"/>
      <c r="J24" s="27"/>
      <c r="K24" s="25"/>
      <c r="L24" s="25"/>
      <c r="M24" s="26"/>
      <c r="N24" s="27"/>
      <c r="O24" s="28"/>
      <c r="P24" s="29"/>
      <c r="Q24" s="195"/>
      <c r="R24" s="195"/>
      <c r="S24" s="195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</row>
    <row r="25" spans="1:69" s="184" customFormat="1" ht="22.5" x14ac:dyDescent="0.15">
      <c r="A25" s="334"/>
      <c r="B25" s="186"/>
      <c r="C25" s="185" t="s">
        <v>508</v>
      </c>
      <c r="D25" s="180" t="s">
        <v>44</v>
      </c>
      <c r="E25" s="181">
        <f>ROUND(E23/0.4,2)</f>
        <v>482.75</v>
      </c>
      <c r="F25" s="26"/>
      <c r="G25" s="61"/>
      <c r="H25" s="26"/>
      <c r="I25" s="27"/>
      <c r="J25" s="27"/>
      <c r="K25" s="25"/>
      <c r="L25" s="25"/>
      <c r="M25" s="26"/>
      <c r="N25" s="27"/>
      <c r="O25" s="28"/>
      <c r="P25" s="29"/>
      <c r="Q25" s="195"/>
      <c r="R25" s="195"/>
      <c r="S25" s="195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</row>
    <row r="26" spans="1:69" s="184" customFormat="1" ht="22.5" x14ac:dyDescent="0.15">
      <c r="A26" s="334"/>
      <c r="B26" s="186"/>
      <c r="C26" s="185" t="s">
        <v>506</v>
      </c>
      <c r="D26" s="180" t="s">
        <v>403</v>
      </c>
      <c r="E26" s="181">
        <f>ROUND(E23/100,2)</f>
        <v>1.93</v>
      </c>
      <c r="F26" s="26"/>
      <c r="G26" s="61"/>
      <c r="H26" s="26"/>
      <c r="I26" s="27"/>
      <c r="J26" s="27"/>
      <c r="K26" s="25"/>
      <c r="L26" s="25"/>
      <c r="M26" s="26"/>
      <c r="N26" s="27"/>
      <c r="O26" s="28"/>
      <c r="P26" s="29"/>
      <c r="Q26" s="195"/>
      <c r="R26" s="195"/>
      <c r="S26" s="195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</row>
    <row r="27" spans="1:69" s="184" customFormat="1" ht="22.5" x14ac:dyDescent="0.15">
      <c r="A27" s="284" t="s">
        <v>38</v>
      </c>
      <c r="B27" s="182"/>
      <c r="C27" s="179" t="s">
        <v>617</v>
      </c>
      <c r="D27" s="180" t="s">
        <v>42</v>
      </c>
      <c r="E27" s="181">
        <f>ROUND(E23*0.18,2)</f>
        <v>34.76</v>
      </c>
      <c r="F27" s="26"/>
      <c r="G27" s="61"/>
      <c r="H27" s="26"/>
      <c r="I27" s="27"/>
      <c r="J27" s="27"/>
      <c r="K27" s="25"/>
      <c r="L27" s="25"/>
      <c r="M27" s="26"/>
      <c r="N27" s="27"/>
      <c r="O27" s="28"/>
      <c r="P27" s="29"/>
      <c r="Q27" s="195"/>
      <c r="R27" s="195"/>
      <c r="S27" s="195"/>
      <c r="T27" s="90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</row>
    <row r="28" spans="1:69" s="184" customFormat="1" ht="11.25" x14ac:dyDescent="0.15">
      <c r="A28" s="334"/>
      <c r="B28" s="176"/>
      <c r="C28" s="185" t="s">
        <v>721</v>
      </c>
      <c r="D28" s="180" t="s">
        <v>42</v>
      </c>
      <c r="E28" s="181">
        <f>ROUND(E27*1.1,2)</f>
        <v>38.24</v>
      </c>
      <c r="F28" s="26"/>
      <c r="G28" s="61"/>
      <c r="H28" s="26"/>
      <c r="I28" s="27"/>
      <c r="J28" s="27"/>
      <c r="K28" s="25"/>
      <c r="L28" s="25"/>
      <c r="M28" s="26"/>
      <c r="N28" s="27"/>
      <c r="O28" s="28"/>
      <c r="P28" s="29"/>
      <c r="Q28" s="195"/>
      <c r="R28" s="195"/>
      <c r="S28" s="195"/>
      <c r="T28" s="90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</row>
    <row r="29" spans="1:69" s="184" customFormat="1" ht="11.25" x14ac:dyDescent="0.15">
      <c r="A29" s="334"/>
      <c r="B29" s="186"/>
      <c r="C29" s="185" t="s">
        <v>245</v>
      </c>
      <c r="D29" s="180" t="s">
        <v>246</v>
      </c>
      <c r="E29" s="181">
        <f>ROUND(E28/8*1,2)</f>
        <v>4.78</v>
      </c>
      <c r="F29" s="26"/>
      <c r="G29" s="61"/>
      <c r="H29" s="26"/>
      <c r="I29" s="27"/>
      <c r="J29" s="27"/>
      <c r="K29" s="25"/>
      <c r="L29" s="25"/>
      <c r="M29" s="26"/>
      <c r="N29" s="27"/>
      <c r="O29" s="28"/>
      <c r="P29" s="29"/>
      <c r="Q29" s="195"/>
      <c r="R29" s="195"/>
      <c r="S29" s="195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</row>
    <row r="30" spans="1:69" s="184" customFormat="1" ht="11.25" x14ac:dyDescent="0.15">
      <c r="A30" s="334"/>
      <c r="B30" s="186"/>
      <c r="C30" s="185" t="s">
        <v>247</v>
      </c>
      <c r="D30" s="180" t="s">
        <v>246</v>
      </c>
      <c r="E30" s="181">
        <f>ROUND(E28/8*2,2)</f>
        <v>9.56</v>
      </c>
      <c r="F30" s="26"/>
      <c r="G30" s="61"/>
      <c r="H30" s="26"/>
      <c r="I30" s="27"/>
      <c r="J30" s="27"/>
      <c r="K30" s="25"/>
      <c r="L30" s="25"/>
      <c r="M30" s="26"/>
      <c r="N30" s="27"/>
      <c r="O30" s="28"/>
      <c r="P30" s="29"/>
      <c r="Q30" s="195"/>
      <c r="R30" s="195"/>
      <c r="S30" s="195"/>
      <c r="T30" s="90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</row>
    <row r="31" spans="1:69" s="184" customFormat="1" ht="11.25" x14ac:dyDescent="0.15">
      <c r="A31" s="334"/>
      <c r="B31" s="186"/>
      <c r="C31" s="185" t="s">
        <v>252</v>
      </c>
      <c r="D31" s="180" t="s">
        <v>48</v>
      </c>
      <c r="E31" s="183">
        <v>1</v>
      </c>
      <c r="F31" s="26"/>
      <c r="G31" s="61"/>
      <c r="H31" s="26"/>
      <c r="I31" s="27"/>
      <c r="J31" s="27"/>
      <c r="K31" s="25"/>
      <c r="L31" s="25"/>
      <c r="M31" s="26"/>
      <c r="N31" s="27"/>
      <c r="O31" s="28"/>
      <c r="P31" s="29"/>
      <c r="Q31" s="195"/>
      <c r="R31" s="195"/>
      <c r="S31" s="195"/>
      <c r="T31" s="207"/>
      <c r="U31" s="207"/>
      <c r="V31" s="207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</row>
    <row r="32" spans="1:69" s="184" customFormat="1" ht="22.5" x14ac:dyDescent="0.15">
      <c r="A32" s="284" t="s">
        <v>39</v>
      </c>
      <c r="B32" s="186"/>
      <c r="C32" s="179" t="s">
        <v>510</v>
      </c>
      <c r="D32" s="180" t="s">
        <v>43</v>
      </c>
      <c r="E32" s="181">
        <f>E23</f>
        <v>193.1</v>
      </c>
      <c r="F32" s="26"/>
      <c r="G32" s="61"/>
      <c r="H32" s="26"/>
      <c r="I32" s="27"/>
      <c r="J32" s="27"/>
      <c r="K32" s="25"/>
      <c r="L32" s="25"/>
      <c r="M32" s="26"/>
      <c r="N32" s="27"/>
      <c r="O32" s="28"/>
      <c r="P32" s="29"/>
      <c r="Q32" s="195"/>
      <c r="R32" s="195"/>
      <c r="S32" s="195"/>
      <c r="T32" s="90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</row>
    <row r="33" spans="1:69" s="184" customFormat="1" ht="22.5" x14ac:dyDescent="0.15">
      <c r="A33" s="334"/>
      <c r="B33" s="186"/>
      <c r="C33" s="185" t="s">
        <v>509</v>
      </c>
      <c r="D33" s="180" t="s">
        <v>50</v>
      </c>
      <c r="E33" s="181">
        <f>ROUND(E32*2.5,2)</f>
        <v>482.75</v>
      </c>
      <c r="F33" s="26"/>
      <c r="G33" s="61"/>
      <c r="H33" s="26"/>
      <c r="I33" s="27"/>
      <c r="J33" s="27"/>
      <c r="K33" s="25"/>
      <c r="L33" s="25"/>
      <c r="M33" s="26"/>
      <c r="N33" s="27"/>
      <c r="O33" s="28"/>
      <c r="P33" s="29"/>
      <c r="Q33" s="195"/>
      <c r="R33" s="195"/>
      <c r="S33" s="195"/>
      <c r="T33" s="207"/>
      <c r="U33" s="207"/>
      <c r="V33" s="207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</row>
    <row r="34" spans="1:69" s="184" customFormat="1" ht="22.5" x14ac:dyDescent="0.15">
      <c r="A34" s="284" t="s">
        <v>40</v>
      </c>
      <c r="B34" s="186"/>
      <c r="C34" s="179" t="s">
        <v>512</v>
      </c>
      <c r="D34" s="180" t="s">
        <v>43</v>
      </c>
      <c r="E34" s="181">
        <v>48</v>
      </c>
      <c r="F34" s="26"/>
      <c r="G34" s="61"/>
      <c r="H34" s="26"/>
      <c r="I34" s="27"/>
      <c r="J34" s="27"/>
      <c r="K34" s="25"/>
      <c r="L34" s="25"/>
      <c r="M34" s="26"/>
      <c r="N34" s="27"/>
      <c r="O34" s="28"/>
      <c r="P34" s="29"/>
      <c r="Q34" s="195"/>
      <c r="R34" s="195"/>
      <c r="S34" s="195"/>
      <c r="T34" s="90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</row>
    <row r="35" spans="1:69" s="184" customFormat="1" ht="12.75" x14ac:dyDescent="0.15">
      <c r="A35" s="334"/>
      <c r="B35" s="186"/>
      <c r="C35" s="235" t="s">
        <v>511</v>
      </c>
      <c r="D35" s="188" t="s">
        <v>43</v>
      </c>
      <c r="E35" s="189">
        <v>623.5</v>
      </c>
      <c r="F35" s="26"/>
      <c r="G35" s="61"/>
      <c r="H35" s="26"/>
      <c r="I35" s="27"/>
      <c r="J35" s="27"/>
      <c r="K35" s="25"/>
      <c r="L35" s="25"/>
      <c r="M35" s="26"/>
      <c r="N35" s="27"/>
      <c r="O35" s="28"/>
      <c r="P35" s="29"/>
      <c r="Q35" s="195"/>
      <c r="R35" s="195"/>
      <c r="S35" s="195"/>
      <c r="T35" s="90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</row>
    <row r="36" spans="1:69" ht="22.5" x14ac:dyDescent="0.2">
      <c r="A36" s="338">
        <v>8</v>
      </c>
      <c r="B36" s="125"/>
      <c r="C36" s="206" t="s">
        <v>720</v>
      </c>
      <c r="D36" s="180" t="s">
        <v>43</v>
      </c>
      <c r="E36" s="181">
        <f>E35</f>
        <v>623.5</v>
      </c>
      <c r="F36" s="26"/>
      <c r="G36" s="61"/>
      <c r="H36" s="221"/>
      <c r="I36" s="222"/>
      <c r="J36" s="222"/>
      <c r="K36" s="25"/>
      <c r="L36" s="25"/>
      <c r="M36" s="26"/>
      <c r="N36" s="27"/>
      <c r="O36" s="28"/>
      <c r="P36" s="29"/>
    </row>
    <row r="37" spans="1:69" x14ac:dyDescent="0.2">
      <c r="A37" s="339"/>
      <c r="B37" s="125"/>
      <c r="C37" s="185" t="s">
        <v>501</v>
      </c>
      <c r="D37" s="180" t="s">
        <v>42</v>
      </c>
      <c r="E37" s="181">
        <f>ROUND(E36*0.55*1.25,1)</f>
        <v>428.7</v>
      </c>
      <c r="F37" s="26"/>
      <c r="G37" s="61"/>
      <c r="H37" s="221"/>
      <c r="I37" s="222"/>
      <c r="J37" s="222"/>
      <c r="K37" s="25"/>
      <c r="L37" s="25"/>
      <c r="M37" s="26"/>
      <c r="N37" s="27"/>
      <c r="O37" s="28"/>
      <c r="P37" s="29"/>
    </row>
    <row r="38" spans="1:69" s="184" customFormat="1" ht="22.5" x14ac:dyDescent="0.15">
      <c r="A38" s="284" t="s">
        <v>316</v>
      </c>
      <c r="B38" s="182"/>
      <c r="C38" s="179" t="s">
        <v>502</v>
      </c>
      <c r="D38" s="180" t="s">
        <v>43</v>
      </c>
      <c r="E38" s="183">
        <f>E36</f>
        <v>623.5</v>
      </c>
      <c r="F38" s="26"/>
      <c r="G38" s="61"/>
      <c r="H38" s="26"/>
      <c r="I38" s="27"/>
      <c r="J38" s="27"/>
      <c r="K38" s="25"/>
      <c r="L38" s="25"/>
      <c r="M38" s="26"/>
      <c r="N38" s="27"/>
      <c r="O38" s="28"/>
      <c r="P38" s="29"/>
      <c r="Q38" s="195"/>
      <c r="R38" s="195"/>
      <c r="S38" s="195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</row>
    <row r="39" spans="1:69" s="184" customFormat="1" ht="11.25" x14ac:dyDescent="0.15">
      <c r="A39" s="334"/>
      <c r="B39" s="176"/>
      <c r="C39" s="185" t="s">
        <v>267</v>
      </c>
      <c r="D39" s="180" t="s">
        <v>42</v>
      </c>
      <c r="E39" s="183">
        <f>ROUND(E38*0.15*1.2,2)</f>
        <v>112.23</v>
      </c>
      <c r="F39" s="26"/>
      <c r="G39" s="61"/>
      <c r="H39" s="26"/>
      <c r="I39" s="27"/>
      <c r="J39" s="27"/>
      <c r="K39" s="25"/>
      <c r="L39" s="25"/>
      <c r="M39" s="26"/>
      <c r="N39" s="27"/>
      <c r="O39" s="28"/>
      <c r="P39" s="29"/>
      <c r="Q39" s="195"/>
      <c r="R39" s="195"/>
      <c r="S39" s="195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</row>
    <row r="40" spans="1:69" s="184" customFormat="1" ht="11.25" x14ac:dyDescent="0.15">
      <c r="A40" s="284" t="s">
        <v>554</v>
      </c>
      <c r="B40" s="182"/>
      <c r="C40" s="206" t="s">
        <v>531</v>
      </c>
      <c r="D40" s="180" t="s">
        <v>43</v>
      </c>
      <c r="E40" s="181">
        <f>E38</f>
        <v>623.5</v>
      </c>
      <c r="F40" s="26"/>
      <c r="G40" s="61"/>
      <c r="H40" s="26"/>
      <c r="I40" s="27"/>
      <c r="J40" s="27"/>
      <c r="K40" s="25"/>
      <c r="L40" s="25"/>
      <c r="M40" s="26"/>
      <c r="N40" s="27"/>
      <c r="O40" s="28"/>
      <c r="P40" s="29"/>
      <c r="Q40" s="195"/>
      <c r="R40" s="195"/>
      <c r="S40" s="195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</row>
    <row r="41" spans="1:69" s="184" customFormat="1" ht="22.5" x14ac:dyDescent="0.15">
      <c r="A41" s="334"/>
      <c r="B41" s="182"/>
      <c r="C41" s="185" t="s">
        <v>503</v>
      </c>
      <c r="D41" s="180" t="s">
        <v>43</v>
      </c>
      <c r="E41" s="181">
        <f>ROUND(E40*1.15,2)</f>
        <v>717.03</v>
      </c>
      <c r="F41" s="26"/>
      <c r="G41" s="61"/>
      <c r="H41" s="26"/>
      <c r="I41" s="27"/>
      <c r="J41" s="27"/>
      <c r="K41" s="25"/>
      <c r="L41" s="25"/>
      <c r="M41" s="26"/>
      <c r="N41" s="27"/>
      <c r="O41" s="28"/>
      <c r="P41" s="29"/>
      <c r="Q41" s="195"/>
      <c r="R41" s="195"/>
      <c r="S41" s="195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</row>
    <row r="42" spans="1:69" s="184" customFormat="1" ht="22.5" x14ac:dyDescent="0.15">
      <c r="A42" s="284" t="s">
        <v>555</v>
      </c>
      <c r="B42" s="176"/>
      <c r="C42" s="179" t="s">
        <v>507</v>
      </c>
      <c r="D42" s="180" t="s">
        <v>43</v>
      </c>
      <c r="E42" s="183">
        <f>E40</f>
        <v>623.5</v>
      </c>
      <c r="F42" s="26"/>
      <c r="G42" s="61"/>
      <c r="H42" s="26"/>
      <c r="I42" s="27"/>
      <c r="J42" s="27"/>
      <c r="K42" s="25"/>
      <c r="L42" s="25"/>
      <c r="M42" s="26"/>
      <c r="N42" s="27"/>
      <c r="O42" s="28"/>
      <c r="P42" s="29"/>
      <c r="Q42" s="195"/>
      <c r="R42" s="195"/>
      <c r="S42" s="195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</row>
    <row r="43" spans="1:69" s="184" customFormat="1" ht="11.25" x14ac:dyDescent="0.15">
      <c r="A43" s="334"/>
      <c r="B43" s="186"/>
      <c r="C43" s="208" t="s">
        <v>504</v>
      </c>
      <c r="D43" s="209" t="s">
        <v>43</v>
      </c>
      <c r="E43" s="210">
        <f>ROUND(E42*1.1,2)</f>
        <v>685.85</v>
      </c>
      <c r="F43" s="26"/>
      <c r="G43" s="61"/>
      <c r="H43" s="26"/>
      <c r="I43" s="27"/>
      <c r="J43" s="27"/>
      <c r="K43" s="25"/>
      <c r="L43" s="25"/>
      <c r="M43" s="26"/>
      <c r="N43" s="27"/>
      <c r="O43" s="28"/>
      <c r="P43" s="29"/>
      <c r="Q43" s="195"/>
      <c r="R43" s="195"/>
      <c r="S43" s="195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</row>
    <row r="44" spans="1:69" s="184" customFormat="1" ht="22.5" x14ac:dyDescent="0.15">
      <c r="A44" s="334"/>
      <c r="B44" s="186"/>
      <c r="C44" s="185" t="s">
        <v>508</v>
      </c>
      <c r="D44" s="180" t="s">
        <v>44</v>
      </c>
      <c r="E44" s="181">
        <f>ROUND(E42/0.4,2)</f>
        <v>1558.75</v>
      </c>
      <c r="F44" s="26"/>
      <c r="G44" s="61"/>
      <c r="H44" s="26"/>
      <c r="I44" s="27"/>
      <c r="J44" s="27"/>
      <c r="K44" s="25"/>
      <c r="L44" s="25"/>
      <c r="M44" s="26"/>
      <c r="N44" s="27"/>
      <c r="O44" s="28"/>
      <c r="P44" s="29"/>
      <c r="Q44" s="195"/>
      <c r="R44" s="195"/>
      <c r="S44" s="195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2"/>
      <c r="BQ44" s="102"/>
    </row>
    <row r="45" spans="1:69" s="184" customFormat="1" ht="22.5" x14ac:dyDescent="0.15">
      <c r="A45" s="334"/>
      <c r="B45" s="186"/>
      <c r="C45" s="185" t="s">
        <v>506</v>
      </c>
      <c r="D45" s="180" t="s">
        <v>403</v>
      </c>
      <c r="E45" s="181">
        <f>ROUND(E42/100,2)</f>
        <v>6.24</v>
      </c>
      <c r="F45" s="26"/>
      <c r="G45" s="61"/>
      <c r="H45" s="26"/>
      <c r="I45" s="27"/>
      <c r="J45" s="27"/>
      <c r="K45" s="25"/>
      <c r="L45" s="25"/>
      <c r="M45" s="26"/>
      <c r="N45" s="27"/>
      <c r="O45" s="28"/>
      <c r="P45" s="29"/>
      <c r="Q45" s="195"/>
      <c r="R45" s="195"/>
      <c r="S45" s="195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</row>
    <row r="46" spans="1:69" s="184" customFormat="1" ht="22.5" x14ac:dyDescent="0.15">
      <c r="A46" s="284" t="s">
        <v>556</v>
      </c>
      <c r="B46" s="182"/>
      <c r="C46" s="179" t="s">
        <v>725</v>
      </c>
      <c r="D46" s="180" t="s">
        <v>42</v>
      </c>
      <c r="E46" s="181">
        <f>ROUND(E42*0.15,2)</f>
        <v>93.53</v>
      </c>
      <c r="F46" s="26"/>
      <c r="G46" s="61"/>
      <c r="H46" s="26"/>
      <c r="I46" s="27"/>
      <c r="J46" s="27"/>
      <c r="K46" s="25"/>
      <c r="L46" s="25"/>
      <c r="M46" s="26"/>
      <c r="N46" s="27"/>
      <c r="O46" s="28"/>
      <c r="P46" s="29"/>
      <c r="Q46" s="195"/>
      <c r="R46" s="195"/>
      <c r="S46" s="195"/>
      <c r="T46" s="90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</row>
    <row r="47" spans="1:69" s="184" customFormat="1" ht="11.25" x14ac:dyDescent="0.15">
      <c r="A47" s="334"/>
      <c r="B47" s="176"/>
      <c r="C47" s="185" t="s">
        <v>721</v>
      </c>
      <c r="D47" s="180" t="s">
        <v>42</v>
      </c>
      <c r="E47" s="181">
        <f>ROUND(E46*1.1,2)</f>
        <v>102.88</v>
      </c>
      <c r="F47" s="26"/>
      <c r="G47" s="61"/>
      <c r="H47" s="26"/>
      <c r="I47" s="27"/>
      <c r="J47" s="27"/>
      <c r="K47" s="25"/>
      <c r="L47" s="25"/>
      <c r="M47" s="26"/>
      <c r="N47" s="27"/>
      <c r="O47" s="28"/>
      <c r="P47" s="29"/>
      <c r="Q47" s="195"/>
      <c r="R47" s="195"/>
      <c r="S47" s="195"/>
      <c r="T47" s="90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</row>
    <row r="48" spans="1:69" s="184" customFormat="1" ht="11.25" x14ac:dyDescent="0.15">
      <c r="A48" s="334"/>
      <c r="B48" s="186"/>
      <c r="C48" s="185" t="s">
        <v>245</v>
      </c>
      <c r="D48" s="180" t="s">
        <v>246</v>
      </c>
      <c r="E48" s="181">
        <f>ROUND(E47/8*1,2)</f>
        <v>12.86</v>
      </c>
      <c r="F48" s="26"/>
      <c r="G48" s="61"/>
      <c r="H48" s="26"/>
      <c r="I48" s="27"/>
      <c r="J48" s="27"/>
      <c r="K48" s="25"/>
      <c r="L48" s="25"/>
      <c r="M48" s="26"/>
      <c r="N48" s="27"/>
      <c r="O48" s="28"/>
      <c r="P48" s="29"/>
      <c r="Q48" s="195"/>
      <c r="R48" s="195"/>
      <c r="S48" s="195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</row>
    <row r="49" spans="1:69" s="184" customFormat="1" ht="11.25" x14ac:dyDescent="0.15">
      <c r="A49" s="334"/>
      <c r="B49" s="186"/>
      <c r="C49" s="185" t="s">
        <v>247</v>
      </c>
      <c r="D49" s="180" t="s">
        <v>246</v>
      </c>
      <c r="E49" s="181">
        <f>ROUND(E47/8*2,2)</f>
        <v>25.72</v>
      </c>
      <c r="F49" s="26"/>
      <c r="G49" s="61"/>
      <c r="H49" s="26"/>
      <c r="I49" s="27"/>
      <c r="J49" s="27"/>
      <c r="K49" s="25"/>
      <c r="L49" s="25"/>
      <c r="M49" s="26"/>
      <c r="N49" s="27"/>
      <c r="O49" s="28"/>
      <c r="P49" s="29"/>
      <c r="Q49" s="195"/>
      <c r="R49" s="195"/>
      <c r="S49" s="195"/>
      <c r="T49" s="90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</row>
    <row r="50" spans="1:69" s="184" customFormat="1" ht="11.25" x14ac:dyDescent="0.15">
      <c r="A50" s="334"/>
      <c r="B50" s="186"/>
      <c r="C50" s="185" t="s">
        <v>252</v>
      </c>
      <c r="D50" s="180" t="s">
        <v>48</v>
      </c>
      <c r="E50" s="183">
        <v>1</v>
      </c>
      <c r="F50" s="26"/>
      <c r="G50" s="61"/>
      <c r="H50" s="26"/>
      <c r="I50" s="27"/>
      <c r="J50" s="27"/>
      <c r="K50" s="25"/>
      <c r="L50" s="25"/>
      <c r="M50" s="26"/>
      <c r="N50" s="27"/>
      <c r="O50" s="28"/>
      <c r="P50" s="29"/>
      <c r="Q50" s="195"/>
      <c r="R50" s="195"/>
      <c r="S50" s="195"/>
      <c r="T50" s="207"/>
      <c r="U50" s="207"/>
      <c r="V50" s="207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</row>
    <row r="51" spans="1:69" s="184" customFormat="1" ht="11.25" x14ac:dyDescent="0.15">
      <c r="A51" s="284">
        <v>13</v>
      </c>
      <c r="B51" s="182"/>
      <c r="C51" s="179" t="s">
        <v>724</v>
      </c>
      <c r="D51" s="180" t="s">
        <v>43</v>
      </c>
      <c r="E51" s="181">
        <v>99.5</v>
      </c>
      <c r="F51" s="26"/>
      <c r="G51" s="61"/>
      <c r="H51" s="26"/>
      <c r="I51" s="27"/>
      <c r="J51" s="27"/>
      <c r="K51" s="25"/>
      <c r="L51" s="25"/>
      <c r="M51" s="26"/>
      <c r="N51" s="27"/>
      <c r="O51" s="28"/>
      <c r="P51" s="29"/>
      <c r="Q51" s="195"/>
      <c r="R51" s="195"/>
      <c r="S51" s="195"/>
      <c r="T51" s="207"/>
      <c r="U51" s="207"/>
      <c r="V51" s="207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</row>
    <row r="52" spans="1:69" s="184" customFormat="1" ht="12.75" x14ac:dyDescent="0.15">
      <c r="A52" s="334"/>
      <c r="B52" s="186"/>
      <c r="C52" s="235" t="s">
        <v>513</v>
      </c>
      <c r="D52" s="188" t="s">
        <v>43</v>
      </c>
      <c r="E52" s="189">
        <v>244.60000000000002</v>
      </c>
      <c r="F52" s="26"/>
      <c r="G52" s="61"/>
      <c r="H52" s="26"/>
      <c r="I52" s="27"/>
      <c r="J52" s="27"/>
      <c r="K52" s="25"/>
      <c r="L52" s="25"/>
      <c r="M52" s="26"/>
      <c r="N52" s="27"/>
      <c r="O52" s="28"/>
      <c r="P52" s="29"/>
      <c r="Q52" s="195"/>
      <c r="R52" s="195"/>
      <c r="S52" s="195"/>
      <c r="T52" s="90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</row>
    <row r="53" spans="1:69" ht="22.5" x14ac:dyDescent="0.2">
      <c r="A53" s="338">
        <v>14</v>
      </c>
      <c r="B53" s="125"/>
      <c r="C53" s="206" t="s">
        <v>720</v>
      </c>
      <c r="D53" s="180" t="s">
        <v>43</v>
      </c>
      <c r="E53" s="181">
        <f>E52</f>
        <v>244.60000000000002</v>
      </c>
      <c r="F53" s="26"/>
      <c r="G53" s="61"/>
      <c r="H53" s="221"/>
      <c r="I53" s="222"/>
      <c r="J53" s="222"/>
      <c r="K53" s="25"/>
      <c r="L53" s="25"/>
      <c r="M53" s="26"/>
      <c r="N53" s="27"/>
      <c r="O53" s="28"/>
      <c r="P53" s="29"/>
    </row>
    <row r="54" spans="1:69" x14ac:dyDescent="0.2">
      <c r="A54" s="339"/>
      <c r="B54" s="125"/>
      <c r="C54" s="185" t="s">
        <v>501</v>
      </c>
      <c r="D54" s="180" t="s">
        <v>42</v>
      </c>
      <c r="E54" s="181">
        <f>ROUND(E53*0.55*1.25,1)</f>
        <v>168.2</v>
      </c>
      <c r="F54" s="26"/>
      <c r="G54" s="61"/>
      <c r="H54" s="221"/>
      <c r="I54" s="222"/>
      <c r="J54" s="222"/>
      <c r="K54" s="25"/>
      <c r="L54" s="25"/>
      <c r="M54" s="26"/>
      <c r="N54" s="27"/>
      <c r="O54" s="28"/>
      <c r="P54" s="29"/>
    </row>
    <row r="55" spans="1:69" s="184" customFormat="1" ht="22.5" x14ac:dyDescent="0.15">
      <c r="A55" s="284">
        <v>15</v>
      </c>
      <c r="B55" s="182"/>
      <c r="C55" s="179" t="s">
        <v>502</v>
      </c>
      <c r="D55" s="180" t="s">
        <v>43</v>
      </c>
      <c r="E55" s="183">
        <f>E53</f>
        <v>244.60000000000002</v>
      </c>
      <c r="F55" s="26"/>
      <c r="G55" s="61"/>
      <c r="H55" s="26"/>
      <c r="I55" s="27"/>
      <c r="J55" s="27"/>
      <c r="K55" s="25"/>
      <c r="L55" s="25"/>
      <c r="M55" s="26"/>
      <c r="N55" s="27"/>
      <c r="O55" s="28"/>
      <c r="P55" s="29"/>
      <c r="Q55" s="195"/>
      <c r="R55" s="195"/>
      <c r="S55" s="195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</row>
    <row r="56" spans="1:69" s="184" customFormat="1" ht="11.25" x14ac:dyDescent="0.15">
      <c r="A56" s="334"/>
      <c r="B56" s="176"/>
      <c r="C56" s="185" t="s">
        <v>267</v>
      </c>
      <c r="D56" s="180" t="s">
        <v>42</v>
      </c>
      <c r="E56" s="183">
        <f>ROUND(E55*0.15*1.2,2)</f>
        <v>44.03</v>
      </c>
      <c r="F56" s="26"/>
      <c r="G56" s="61"/>
      <c r="H56" s="26"/>
      <c r="I56" s="27"/>
      <c r="J56" s="27"/>
      <c r="K56" s="25"/>
      <c r="L56" s="25"/>
      <c r="M56" s="26"/>
      <c r="N56" s="27"/>
      <c r="O56" s="28"/>
      <c r="P56" s="29"/>
      <c r="Q56" s="195"/>
      <c r="R56" s="195"/>
      <c r="S56" s="195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</row>
    <row r="57" spans="1:69" s="184" customFormat="1" ht="11.25" x14ac:dyDescent="0.15">
      <c r="A57" s="284">
        <v>16</v>
      </c>
      <c r="B57" s="182"/>
      <c r="C57" s="206" t="s">
        <v>531</v>
      </c>
      <c r="D57" s="180" t="s">
        <v>43</v>
      </c>
      <c r="E57" s="181">
        <f>E55</f>
        <v>244.60000000000002</v>
      </c>
      <c r="F57" s="26"/>
      <c r="G57" s="61"/>
      <c r="H57" s="26"/>
      <c r="I57" s="27"/>
      <c r="J57" s="27"/>
      <c r="K57" s="25"/>
      <c r="L57" s="25"/>
      <c r="M57" s="26"/>
      <c r="N57" s="27"/>
      <c r="O57" s="28"/>
      <c r="P57" s="29"/>
      <c r="Q57" s="195"/>
      <c r="R57" s="195"/>
      <c r="S57" s="195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</row>
    <row r="58" spans="1:69" s="184" customFormat="1" ht="22.5" x14ac:dyDescent="0.15">
      <c r="A58" s="334"/>
      <c r="B58" s="182"/>
      <c r="C58" s="185" t="s">
        <v>503</v>
      </c>
      <c r="D58" s="180" t="s">
        <v>43</v>
      </c>
      <c r="E58" s="181">
        <f>ROUND(E57*1.15,2)</f>
        <v>281.29000000000002</v>
      </c>
      <c r="F58" s="26"/>
      <c r="G58" s="61"/>
      <c r="H58" s="26"/>
      <c r="I58" s="27"/>
      <c r="J58" s="27"/>
      <c r="K58" s="25"/>
      <c r="L58" s="25"/>
      <c r="M58" s="26"/>
      <c r="N58" s="27"/>
      <c r="O58" s="28"/>
      <c r="P58" s="29"/>
      <c r="Q58" s="195"/>
      <c r="R58" s="195"/>
      <c r="S58" s="195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</row>
    <row r="59" spans="1:69" s="184" customFormat="1" ht="22.5" x14ac:dyDescent="0.15">
      <c r="A59" s="284">
        <v>17</v>
      </c>
      <c r="B59" s="176"/>
      <c r="C59" s="179" t="s">
        <v>507</v>
      </c>
      <c r="D59" s="180" t="s">
        <v>43</v>
      </c>
      <c r="E59" s="183">
        <f>E57</f>
        <v>244.60000000000002</v>
      </c>
      <c r="F59" s="26"/>
      <c r="G59" s="61"/>
      <c r="H59" s="26"/>
      <c r="I59" s="27"/>
      <c r="J59" s="27"/>
      <c r="K59" s="25"/>
      <c r="L59" s="25"/>
      <c r="M59" s="26"/>
      <c r="N59" s="27"/>
      <c r="O59" s="28"/>
      <c r="P59" s="29"/>
      <c r="Q59" s="195"/>
      <c r="R59" s="195"/>
      <c r="S59" s="195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2"/>
      <c r="BE59" s="102"/>
      <c r="BF59" s="102"/>
      <c r="BG59" s="102"/>
      <c r="BH59" s="102"/>
      <c r="BI59" s="102"/>
      <c r="BJ59" s="102"/>
      <c r="BK59" s="102"/>
      <c r="BL59" s="102"/>
      <c r="BM59" s="102"/>
      <c r="BN59" s="102"/>
      <c r="BO59" s="102"/>
      <c r="BP59" s="102"/>
      <c r="BQ59" s="102"/>
    </row>
    <row r="60" spans="1:69" s="184" customFormat="1" ht="11.25" x14ac:dyDescent="0.15">
      <c r="A60" s="334"/>
      <c r="B60" s="186"/>
      <c r="C60" s="208" t="s">
        <v>504</v>
      </c>
      <c r="D60" s="209" t="s">
        <v>43</v>
      </c>
      <c r="E60" s="210">
        <f>ROUND(E59*1.1,2)</f>
        <v>269.06</v>
      </c>
      <c r="F60" s="26"/>
      <c r="G60" s="61"/>
      <c r="H60" s="26"/>
      <c r="I60" s="27"/>
      <c r="J60" s="27"/>
      <c r="K60" s="25"/>
      <c r="L60" s="25"/>
      <c r="M60" s="26"/>
      <c r="N60" s="27"/>
      <c r="O60" s="28"/>
      <c r="P60" s="29"/>
      <c r="Q60" s="195"/>
      <c r="R60" s="195"/>
      <c r="S60" s="195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102"/>
      <c r="BG60" s="102"/>
      <c r="BH60" s="102"/>
      <c r="BI60" s="102"/>
      <c r="BJ60" s="102"/>
      <c r="BK60" s="102"/>
      <c r="BL60" s="102"/>
      <c r="BM60" s="102"/>
      <c r="BN60" s="102"/>
      <c r="BO60" s="102"/>
      <c r="BP60" s="102"/>
      <c r="BQ60" s="102"/>
    </row>
    <row r="61" spans="1:69" s="184" customFormat="1" ht="22.5" x14ac:dyDescent="0.15">
      <c r="A61" s="334"/>
      <c r="B61" s="186"/>
      <c r="C61" s="185" t="s">
        <v>508</v>
      </c>
      <c r="D61" s="180" t="s">
        <v>44</v>
      </c>
      <c r="E61" s="181">
        <f>ROUND(E59/0.4,2)</f>
        <v>611.5</v>
      </c>
      <c r="F61" s="26"/>
      <c r="G61" s="61"/>
      <c r="H61" s="26"/>
      <c r="I61" s="27"/>
      <c r="J61" s="27"/>
      <c r="K61" s="25"/>
      <c r="L61" s="25"/>
      <c r="M61" s="26"/>
      <c r="N61" s="27"/>
      <c r="O61" s="28"/>
      <c r="P61" s="29"/>
      <c r="Q61" s="195"/>
      <c r="R61" s="195"/>
      <c r="S61" s="195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102"/>
      <c r="AY61" s="102"/>
      <c r="AZ61" s="102"/>
      <c r="BA61" s="102"/>
      <c r="BB61" s="102"/>
      <c r="BC61" s="102"/>
      <c r="BD61" s="102"/>
      <c r="BE61" s="102"/>
      <c r="BF61" s="102"/>
      <c r="BG61" s="102"/>
      <c r="BH61" s="102"/>
      <c r="BI61" s="102"/>
      <c r="BJ61" s="102"/>
      <c r="BK61" s="102"/>
      <c r="BL61" s="102"/>
      <c r="BM61" s="102"/>
      <c r="BN61" s="102"/>
      <c r="BO61" s="102"/>
      <c r="BP61" s="102"/>
      <c r="BQ61" s="102"/>
    </row>
    <row r="62" spans="1:69" s="184" customFormat="1" ht="22.5" x14ac:dyDescent="0.15">
      <c r="A62" s="334"/>
      <c r="B62" s="186"/>
      <c r="C62" s="185" t="s">
        <v>506</v>
      </c>
      <c r="D62" s="180" t="s">
        <v>403</v>
      </c>
      <c r="E62" s="181">
        <f>ROUND(E59/100,2)</f>
        <v>2.4500000000000002</v>
      </c>
      <c r="F62" s="26"/>
      <c r="G62" s="61"/>
      <c r="H62" s="26"/>
      <c r="I62" s="27"/>
      <c r="J62" s="27"/>
      <c r="K62" s="25"/>
      <c r="L62" s="25"/>
      <c r="M62" s="26"/>
      <c r="N62" s="27"/>
      <c r="O62" s="28"/>
      <c r="P62" s="29"/>
      <c r="Q62" s="195"/>
      <c r="R62" s="195"/>
      <c r="S62" s="195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102"/>
      <c r="BF62" s="102"/>
      <c r="BG62" s="102"/>
      <c r="BH62" s="102"/>
      <c r="BI62" s="102"/>
      <c r="BJ62" s="102"/>
      <c r="BK62" s="102"/>
      <c r="BL62" s="102"/>
      <c r="BM62" s="102"/>
      <c r="BN62" s="102"/>
      <c r="BO62" s="102"/>
      <c r="BP62" s="102"/>
      <c r="BQ62" s="102"/>
    </row>
    <row r="63" spans="1:69" s="184" customFormat="1" ht="22.5" x14ac:dyDescent="0.15">
      <c r="A63" s="284">
        <v>18</v>
      </c>
      <c r="B63" s="182"/>
      <c r="C63" s="179" t="s">
        <v>618</v>
      </c>
      <c r="D63" s="180" t="s">
        <v>42</v>
      </c>
      <c r="E63" s="181">
        <v>50.53</v>
      </c>
      <c r="F63" s="26"/>
      <c r="G63" s="61"/>
      <c r="H63" s="26"/>
      <c r="I63" s="27"/>
      <c r="J63" s="27"/>
      <c r="K63" s="25"/>
      <c r="L63" s="25"/>
      <c r="M63" s="26"/>
      <c r="N63" s="27"/>
      <c r="O63" s="28"/>
      <c r="P63" s="29"/>
      <c r="Q63" s="195"/>
      <c r="R63" s="195"/>
      <c r="S63" s="195"/>
      <c r="T63" s="90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2"/>
      <c r="BK63" s="102"/>
      <c r="BL63" s="102"/>
      <c r="BM63" s="102"/>
      <c r="BN63" s="102"/>
    </row>
    <row r="64" spans="1:69" s="184" customFormat="1" ht="11.25" x14ac:dyDescent="0.15">
      <c r="A64" s="334"/>
      <c r="B64" s="176"/>
      <c r="C64" s="185" t="s">
        <v>721</v>
      </c>
      <c r="D64" s="180" t="s">
        <v>42</v>
      </c>
      <c r="E64" s="181">
        <f>ROUND(E63*1.1,2)</f>
        <v>55.58</v>
      </c>
      <c r="F64" s="26"/>
      <c r="G64" s="61"/>
      <c r="H64" s="26"/>
      <c r="I64" s="27"/>
      <c r="J64" s="27"/>
      <c r="K64" s="25"/>
      <c r="L64" s="25"/>
      <c r="M64" s="26"/>
      <c r="N64" s="27"/>
      <c r="O64" s="28"/>
      <c r="P64" s="29"/>
      <c r="Q64" s="195"/>
      <c r="R64" s="195"/>
      <c r="S64" s="195"/>
      <c r="T64" s="90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/>
      <c r="BF64" s="102"/>
      <c r="BG64" s="102"/>
      <c r="BH64" s="102"/>
      <c r="BI64" s="102"/>
      <c r="BJ64" s="102"/>
      <c r="BK64" s="102"/>
      <c r="BL64" s="102"/>
      <c r="BM64" s="102"/>
      <c r="BN64" s="102"/>
    </row>
    <row r="65" spans="1:69" s="184" customFormat="1" ht="11.25" x14ac:dyDescent="0.15">
      <c r="A65" s="334"/>
      <c r="B65" s="186"/>
      <c r="C65" s="185" t="s">
        <v>245</v>
      </c>
      <c r="D65" s="180" t="s">
        <v>246</v>
      </c>
      <c r="E65" s="181">
        <f>ROUND(E64/8*1,2)</f>
        <v>6.95</v>
      </c>
      <c r="F65" s="26"/>
      <c r="G65" s="61"/>
      <c r="H65" s="26"/>
      <c r="I65" s="27"/>
      <c r="J65" s="27"/>
      <c r="K65" s="25"/>
      <c r="L65" s="25"/>
      <c r="M65" s="26"/>
      <c r="N65" s="27"/>
      <c r="O65" s="28"/>
      <c r="P65" s="29"/>
      <c r="Q65" s="195"/>
      <c r="R65" s="195"/>
      <c r="S65" s="195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02"/>
      <c r="BE65" s="102"/>
      <c r="BF65" s="102"/>
      <c r="BG65" s="102"/>
      <c r="BH65" s="102"/>
      <c r="BI65" s="102"/>
      <c r="BJ65" s="102"/>
      <c r="BK65" s="102"/>
      <c r="BL65" s="102"/>
      <c r="BM65" s="102"/>
      <c r="BN65" s="102"/>
      <c r="BO65" s="102"/>
      <c r="BP65" s="102"/>
      <c r="BQ65" s="102"/>
    </row>
    <row r="66" spans="1:69" s="184" customFormat="1" ht="11.25" x14ac:dyDescent="0.15">
      <c r="A66" s="334"/>
      <c r="B66" s="186"/>
      <c r="C66" s="185" t="s">
        <v>247</v>
      </c>
      <c r="D66" s="180" t="s">
        <v>246</v>
      </c>
      <c r="E66" s="181">
        <f>ROUND(E64/8*2,2)</f>
        <v>13.9</v>
      </c>
      <c r="F66" s="26"/>
      <c r="G66" s="61"/>
      <c r="H66" s="26"/>
      <c r="I66" s="27"/>
      <c r="J66" s="27"/>
      <c r="K66" s="25"/>
      <c r="L66" s="25"/>
      <c r="M66" s="26"/>
      <c r="N66" s="27"/>
      <c r="O66" s="28"/>
      <c r="P66" s="29"/>
      <c r="Q66" s="195"/>
      <c r="R66" s="195"/>
      <c r="S66" s="195"/>
      <c r="T66" s="90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/>
      <c r="BF66" s="102"/>
      <c r="BG66" s="102"/>
      <c r="BH66" s="102"/>
      <c r="BI66" s="102"/>
      <c r="BJ66" s="102"/>
      <c r="BK66" s="102"/>
      <c r="BL66" s="102"/>
      <c r="BM66" s="102"/>
      <c r="BN66" s="102"/>
    </row>
    <row r="67" spans="1:69" s="184" customFormat="1" ht="11.25" x14ac:dyDescent="0.15">
      <c r="A67" s="334"/>
      <c r="B67" s="186"/>
      <c r="C67" s="185" t="s">
        <v>252</v>
      </c>
      <c r="D67" s="180" t="s">
        <v>48</v>
      </c>
      <c r="E67" s="183">
        <v>1</v>
      </c>
      <c r="F67" s="26"/>
      <c r="G67" s="61"/>
      <c r="H67" s="26"/>
      <c r="I67" s="27"/>
      <c r="J67" s="27"/>
      <c r="K67" s="25"/>
      <c r="L67" s="25"/>
      <c r="M67" s="26"/>
      <c r="N67" s="27"/>
      <c r="O67" s="28"/>
      <c r="P67" s="29"/>
      <c r="Q67" s="195"/>
      <c r="R67" s="195"/>
      <c r="S67" s="195"/>
      <c r="T67" s="207"/>
      <c r="U67" s="207"/>
      <c r="V67" s="207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/>
      <c r="BF67" s="102"/>
      <c r="BG67" s="102"/>
      <c r="BH67" s="102"/>
      <c r="BI67" s="102"/>
      <c r="BJ67" s="102"/>
      <c r="BK67" s="102"/>
      <c r="BL67" s="102"/>
      <c r="BM67" s="102"/>
      <c r="BN67" s="102"/>
      <c r="BO67" s="102"/>
      <c r="BP67" s="102"/>
      <c r="BQ67" s="102"/>
    </row>
    <row r="68" spans="1:69" s="184" customFormat="1" ht="12.75" x14ac:dyDescent="0.15">
      <c r="A68" s="334"/>
      <c r="B68" s="186"/>
      <c r="C68" s="235" t="s">
        <v>514</v>
      </c>
      <c r="D68" s="188" t="s">
        <v>43</v>
      </c>
      <c r="E68" s="189">
        <v>63.2</v>
      </c>
      <c r="F68" s="26"/>
      <c r="G68" s="61"/>
      <c r="H68" s="26"/>
      <c r="I68" s="27"/>
      <c r="J68" s="27"/>
      <c r="K68" s="25"/>
      <c r="L68" s="25"/>
      <c r="M68" s="26"/>
      <c r="N68" s="27"/>
      <c r="O68" s="28"/>
      <c r="P68" s="29"/>
      <c r="Q68" s="195"/>
      <c r="R68" s="195"/>
      <c r="S68" s="195"/>
      <c r="T68" s="90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/>
      <c r="BF68" s="102"/>
      <c r="BG68" s="102"/>
      <c r="BH68" s="102"/>
      <c r="BI68" s="102"/>
      <c r="BJ68" s="102"/>
      <c r="BK68" s="102"/>
      <c r="BL68" s="102"/>
      <c r="BM68" s="102"/>
      <c r="BN68" s="102"/>
    </row>
    <row r="69" spans="1:69" ht="22.5" x14ac:dyDescent="0.2">
      <c r="A69" s="338">
        <v>19</v>
      </c>
      <c r="B69" s="125"/>
      <c r="C69" s="206" t="s">
        <v>720</v>
      </c>
      <c r="D69" s="180" t="s">
        <v>43</v>
      </c>
      <c r="E69" s="181">
        <f>E68</f>
        <v>63.2</v>
      </c>
      <c r="F69" s="26"/>
      <c r="G69" s="61"/>
      <c r="H69" s="221"/>
      <c r="I69" s="222"/>
      <c r="J69" s="222"/>
      <c r="K69" s="25"/>
      <c r="L69" s="25"/>
      <c r="M69" s="26"/>
      <c r="N69" s="27"/>
      <c r="O69" s="28"/>
      <c r="P69" s="29"/>
    </row>
    <row r="70" spans="1:69" x14ac:dyDescent="0.2">
      <c r="A70" s="339"/>
      <c r="B70" s="125"/>
      <c r="C70" s="185" t="s">
        <v>501</v>
      </c>
      <c r="D70" s="180" t="s">
        <v>42</v>
      </c>
      <c r="E70" s="181">
        <f>ROUND(E69*0.55*1.25,1)</f>
        <v>43.5</v>
      </c>
      <c r="F70" s="26"/>
      <c r="G70" s="61"/>
      <c r="H70" s="221"/>
      <c r="I70" s="222"/>
      <c r="J70" s="222"/>
      <c r="K70" s="25"/>
      <c r="L70" s="25"/>
      <c r="M70" s="26"/>
      <c r="N70" s="27"/>
      <c r="O70" s="28"/>
      <c r="P70" s="29"/>
    </row>
    <row r="71" spans="1:69" s="184" customFormat="1" ht="22.5" x14ac:dyDescent="0.15">
      <c r="A71" s="284">
        <v>20</v>
      </c>
      <c r="B71" s="182"/>
      <c r="C71" s="179" t="s">
        <v>502</v>
      </c>
      <c r="D71" s="180" t="s">
        <v>43</v>
      </c>
      <c r="E71" s="183">
        <f>E69</f>
        <v>63.2</v>
      </c>
      <c r="F71" s="26"/>
      <c r="G71" s="61"/>
      <c r="H71" s="26"/>
      <c r="I71" s="27"/>
      <c r="J71" s="27"/>
      <c r="K71" s="25"/>
      <c r="L71" s="25"/>
      <c r="M71" s="26"/>
      <c r="N71" s="27"/>
      <c r="O71" s="28"/>
      <c r="P71" s="29"/>
      <c r="Q71" s="195"/>
      <c r="R71" s="195"/>
      <c r="S71" s="195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102"/>
      <c r="AY71" s="102"/>
      <c r="AZ71" s="102"/>
      <c r="BA71" s="102"/>
      <c r="BB71" s="102"/>
      <c r="BC71" s="102"/>
      <c r="BD71" s="102"/>
      <c r="BE71" s="102"/>
      <c r="BF71" s="102"/>
      <c r="BG71" s="102"/>
      <c r="BH71" s="102"/>
      <c r="BI71" s="102"/>
      <c r="BJ71" s="102"/>
      <c r="BK71" s="102"/>
      <c r="BL71" s="102"/>
      <c r="BM71" s="102"/>
      <c r="BN71" s="102"/>
      <c r="BO71" s="102"/>
      <c r="BP71" s="102"/>
      <c r="BQ71" s="102"/>
    </row>
    <row r="72" spans="1:69" s="184" customFormat="1" ht="11.25" x14ac:dyDescent="0.15">
      <c r="A72" s="334"/>
      <c r="B72" s="176"/>
      <c r="C72" s="185" t="s">
        <v>267</v>
      </c>
      <c r="D72" s="180" t="s">
        <v>42</v>
      </c>
      <c r="E72" s="183">
        <f>ROUND(E71*0.15*1.2,2)</f>
        <v>11.38</v>
      </c>
      <c r="F72" s="26"/>
      <c r="G72" s="61"/>
      <c r="H72" s="26"/>
      <c r="I72" s="27"/>
      <c r="J72" s="27"/>
      <c r="K72" s="25"/>
      <c r="L72" s="25"/>
      <c r="M72" s="26"/>
      <c r="N72" s="27"/>
      <c r="O72" s="28"/>
      <c r="P72" s="29"/>
      <c r="Q72" s="195"/>
      <c r="R72" s="195"/>
      <c r="S72" s="195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102"/>
      <c r="BF72" s="102"/>
      <c r="BG72" s="102"/>
      <c r="BH72" s="102"/>
      <c r="BI72" s="102"/>
      <c r="BJ72" s="102"/>
      <c r="BK72" s="102"/>
      <c r="BL72" s="102"/>
      <c r="BM72" s="102"/>
      <c r="BN72" s="102"/>
      <c r="BO72" s="102"/>
      <c r="BP72" s="102"/>
      <c r="BQ72" s="102"/>
    </row>
    <row r="73" spans="1:69" s="184" customFormat="1" ht="11.25" x14ac:dyDescent="0.15">
      <c r="A73" s="284">
        <v>21</v>
      </c>
      <c r="B73" s="182"/>
      <c r="C73" s="206" t="s">
        <v>531</v>
      </c>
      <c r="D73" s="180" t="s">
        <v>43</v>
      </c>
      <c r="E73" s="181">
        <f>E71</f>
        <v>63.2</v>
      </c>
      <c r="F73" s="26"/>
      <c r="G73" s="61"/>
      <c r="H73" s="26"/>
      <c r="I73" s="27"/>
      <c r="J73" s="27"/>
      <c r="K73" s="25"/>
      <c r="L73" s="25"/>
      <c r="M73" s="26"/>
      <c r="N73" s="27"/>
      <c r="O73" s="28"/>
      <c r="P73" s="29"/>
      <c r="Q73" s="195"/>
      <c r="R73" s="195"/>
      <c r="S73" s="195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102"/>
      <c r="AY73" s="102"/>
      <c r="AZ73" s="102"/>
      <c r="BA73" s="102"/>
      <c r="BB73" s="102"/>
      <c r="BC73" s="102"/>
      <c r="BD73" s="102"/>
      <c r="BE73" s="102"/>
      <c r="BF73" s="102"/>
      <c r="BG73" s="102"/>
      <c r="BH73" s="102"/>
      <c r="BI73" s="102"/>
      <c r="BJ73" s="102"/>
      <c r="BK73" s="102"/>
      <c r="BL73" s="102"/>
      <c r="BM73" s="102"/>
      <c r="BN73" s="102"/>
      <c r="BO73" s="102"/>
      <c r="BP73" s="102"/>
      <c r="BQ73" s="102"/>
    </row>
    <row r="74" spans="1:69" s="184" customFormat="1" ht="22.5" x14ac:dyDescent="0.15">
      <c r="A74" s="334"/>
      <c r="B74" s="182"/>
      <c r="C74" s="185" t="s">
        <v>503</v>
      </c>
      <c r="D74" s="180" t="s">
        <v>43</v>
      </c>
      <c r="E74" s="181">
        <f>ROUND(E73*1.15,2)</f>
        <v>72.680000000000007</v>
      </c>
      <c r="F74" s="26"/>
      <c r="G74" s="61"/>
      <c r="H74" s="26"/>
      <c r="I74" s="27"/>
      <c r="J74" s="27"/>
      <c r="K74" s="25"/>
      <c r="L74" s="25"/>
      <c r="M74" s="26"/>
      <c r="N74" s="27"/>
      <c r="O74" s="28"/>
      <c r="P74" s="29"/>
      <c r="Q74" s="195"/>
      <c r="R74" s="195"/>
      <c r="S74" s="195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  <c r="BC74" s="102"/>
      <c r="BD74" s="102"/>
      <c r="BE74" s="102"/>
      <c r="BF74" s="102"/>
      <c r="BG74" s="102"/>
      <c r="BH74" s="102"/>
      <c r="BI74" s="102"/>
      <c r="BJ74" s="102"/>
      <c r="BK74" s="102"/>
      <c r="BL74" s="102"/>
      <c r="BM74" s="102"/>
      <c r="BN74" s="102"/>
      <c r="BO74" s="102"/>
      <c r="BP74" s="102"/>
      <c r="BQ74" s="102"/>
    </row>
    <row r="75" spans="1:69" s="184" customFormat="1" ht="22.5" x14ac:dyDescent="0.15">
      <c r="A75" s="284">
        <v>22</v>
      </c>
      <c r="B75" s="176"/>
      <c r="C75" s="179" t="s">
        <v>507</v>
      </c>
      <c r="D75" s="180" t="s">
        <v>43</v>
      </c>
      <c r="E75" s="183">
        <f>E73</f>
        <v>63.2</v>
      </c>
      <c r="F75" s="26"/>
      <c r="G75" s="61"/>
      <c r="H75" s="26"/>
      <c r="I75" s="27"/>
      <c r="J75" s="27"/>
      <c r="K75" s="25"/>
      <c r="L75" s="25"/>
      <c r="M75" s="26"/>
      <c r="N75" s="27"/>
      <c r="O75" s="28"/>
      <c r="P75" s="29"/>
      <c r="Q75" s="195"/>
      <c r="R75" s="195"/>
      <c r="S75" s="195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  <c r="BO75" s="102"/>
      <c r="BP75" s="102"/>
      <c r="BQ75" s="102"/>
    </row>
    <row r="76" spans="1:69" s="184" customFormat="1" ht="11.25" x14ac:dyDescent="0.15">
      <c r="A76" s="334"/>
      <c r="B76" s="186"/>
      <c r="C76" s="208" t="s">
        <v>515</v>
      </c>
      <c r="D76" s="209" t="s">
        <v>43</v>
      </c>
      <c r="E76" s="210">
        <f>ROUND(E75*1.1,2)</f>
        <v>69.52</v>
      </c>
      <c r="F76" s="26"/>
      <c r="G76" s="61"/>
      <c r="H76" s="26"/>
      <c r="I76" s="27"/>
      <c r="J76" s="27"/>
      <c r="K76" s="25"/>
      <c r="L76" s="25"/>
      <c r="M76" s="26"/>
      <c r="N76" s="27"/>
      <c r="O76" s="28"/>
      <c r="P76" s="29"/>
      <c r="Q76" s="195"/>
      <c r="R76" s="195"/>
      <c r="S76" s="195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  <c r="BC76" s="102"/>
      <c r="BD76" s="102"/>
      <c r="BE76" s="102"/>
      <c r="BF76" s="102"/>
      <c r="BG76" s="102"/>
      <c r="BH76" s="102"/>
      <c r="BI76" s="102"/>
      <c r="BJ76" s="102"/>
      <c r="BK76" s="102"/>
      <c r="BL76" s="102"/>
      <c r="BM76" s="102"/>
      <c r="BN76" s="102"/>
      <c r="BO76" s="102"/>
      <c r="BP76" s="102"/>
      <c r="BQ76" s="102"/>
    </row>
    <row r="77" spans="1:69" s="184" customFormat="1" ht="22.5" x14ac:dyDescent="0.15">
      <c r="A77" s="334"/>
      <c r="B77" s="186"/>
      <c r="C77" s="185" t="s">
        <v>508</v>
      </c>
      <c r="D77" s="180" t="s">
        <v>44</v>
      </c>
      <c r="E77" s="181">
        <f>ROUND(E75/0.4,2)</f>
        <v>158</v>
      </c>
      <c r="F77" s="26"/>
      <c r="G77" s="61"/>
      <c r="H77" s="26"/>
      <c r="I77" s="27"/>
      <c r="J77" s="27"/>
      <c r="K77" s="25"/>
      <c r="L77" s="25"/>
      <c r="M77" s="26"/>
      <c r="N77" s="27"/>
      <c r="O77" s="28"/>
      <c r="P77" s="29"/>
      <c r="Q77" s="195"/>
      <c r="R77" s="195"/>
      <c r="S77" s="195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02"/>
      <c r="BC77" s="102"/>
      <c r="BD77" s="102"/>
      <c r="BE77" s="102"/>
      <c r="BF77" s="102"/>
      <c r="BG77" s="102"/>
      <c r="BH77" s="102"/>
      <c r="BI77" s="102"/>
      <c r="BJ77" s="102"/>
      <c r="BK77" s="102"/>
      <c r="BL77" s="102"/>
      <c r="BM77" s="102"/>
      <c r="BN77" s="102"/>
      <c r="BO77" s="102"/>
      <c r="BP77" s="102"/>
      <c r="BQ77" s="102"/>
    </row>
    <row r="78" spans="1:69" s="184" customFormat="1" ht="22.5" x14ac:dyDescent="0.15">
      <c r="A78" s="334"/>
      <c r="B78" s="186"/>
      <c r="C78" s="185" t="s">
        <v>506</v>
      </c>
      <c r="D78" s="180" t="s">
        <v>403</v>
      </c>
      <c r="E78" s="181">
        <f>ROUND(E75/100,2)</f>
        <v>0.63</v>
      </c>
      <c r="F78" s="26"/>
      <c r="G78" s="61"/>
      <c r="H78" s="26"/>
      <c r="I78" s="27"/>
      <c r="J78" s="27"/>
      <c r="K78" s="25"/>
      <c r="L78" s="25"/>
      <c r="M78" s="26"/>
      <c r="N78" s="27"/>
      <c r="O78" s="28"/>
      <c r="P78" s="29"/>
      <c r="Q78" s="195"/>
      <c r="R78" s="195"/>
      <c r="S78" s="195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  <c r="BB78" s="102"/>
      <c r="BC78" s="102"/>
      <c r="BD78" s="102"/>
      <c r="BE78" s="102"/>
      <c r="BF78" s="102"/>
      <c r="BG78" s="102"/>
      <c r="BH78" s="102"/>
      <c r="BI78" s="102"/>
      <c r="BJ78" s="102"/>
      <c r="BK78" s="102"/>
      <c r="BL78" s="102"/>
      <c r="BM78" s="102"/>
      <c r="BN78" s="102"/>
      <c r="BO78" s="102"/>
      <c r="BP78" s="102"/>
      <c r="BQ78" s="102"/>
    </row>
    <row r="79" spans="1:69" s="184" customFormat="1" ht="22.5" x14ac:dyDescent="0.15">
      <c r="A79" s="334"/>
      <c r="B79" s="186"/>
      <c r="C79" s="206" t="s">
        <v>726</v>
      </c>
      <c r="D79" s="180" t="s">
        <v>43</v>
      </c>
      <c r="E79" s="181">
        <v>4.4000000000000004</v>
      </c>
      <c r="F79" s="26"/>
      <c r="G79" s="61"/>
      <c r="H79" s="26"/>
      <c r="I79" s="27"/>
      <c r="J79" s="27"/>
      <c r="K79" s="25"/>
      <c r="L79" s="25"/>
      <c r="M79" s="26"/>
      <c r="N79" s="27"/>
      <c r="O79" s="28"/>
      <c r="P79" s="29"/>
      <c r="Q79" s="195"/>
      <c r="R79" s="195"/>
      <c r="S79" s="195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102"/>
      <c r="AY79" s="102"/>
      <c r="AZ79" s="102"/>
      <c r="BA79" s="102"/>
      <c r="BB79" s="102"/>
      <c r="BC79" s="102"/>
      <c r="BD79" s="102"/>
      <c r="BE79" s="102"/>
      <c r="BF79" s="102"/>
      <c r="BG79" s="102"/>
      <c r="BH79" s="102"/>
      <c r="BI79" s="102"/>
      <c r="BJ79" s="102"/>
      <c r="BK79" s="102"/>
      <c r="BL79" s="102"/>
      <c r="BM79" s="102"/>
      <c r="BN79" s="102"/>
      <c r="BO79" s="102"/>
      <c r="BP79" s="102"/>
      <c r="BQ79" s="102"/>
    </row>
    <row r="80" spans="1:69" s="184" customFormat="1" ht="22.5" x14ac:dyDescent="0.15">
      <c r="A80" s="334"/>
      <c r="B80" s="186"/>
      <c r="C80" s="185" t="s">
        <v>248</v>
      </c>
      <c r="D80" s="180" t="s">
        <v>43</v>
      </c>
      <c r="E80" s="181">
        <f>ROUND(E79*1.15,2)</f>
        <v>5.0599999999999996</v>
      </c>
      <c r="F80" s="26"/>
      <c r="G80" s="61"/>
      <c r="H80" s="26"/>
      <c r="I80" s="27"/>
      <c r="J80" s="27"/>
      <c r="K80" s="25"/>
      <c r="L80" s="25"/>
      <c r="M80" s="26"/>
      <c r="N80" s="27"/>
      <c r="O80" s="28"/>
      <c r="P80" s="29"/>
      <c r="Q80" s="195"/>
      <c r="R80" s="195"/>
      <c r="S80" s="195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</row>
    <row r="81" spans="1:69" s="184" customFormat="1" ht="33.75" x14ac:dyDescent="0.15">
      <c r="A81" s="334"/>
      <c r="B81" s="186"/>
      <c r="C81" s="185" t="s">
        <v>254</v>
      </c>
      <c r="D81" s="180" t="s">
        <v>43</v>
      </c>
      <c r="E81" s="181">
        <f>E79</f>
        <v>4.4000000000000004</v>
      </c>
      <c r="F81" s="26"/>
      <c r="G81" s="61"/>
      <c r="H81" s="26"/>
      <c r="I81" s="27"/>
      <c r="J81" s="27"/>
      <c r="K81" s="25"/>
      <c r="L81" s="25"/>
      <c r="M81" s="26"/>
      <c r="N81" s="27"/>
      <c r="O81" s="28"/>
      <c r="P81" s="29"/>
      <c r="Q81" s="195"/>
      <c r="R81" s="195"/>
      <c r="S81" s="195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2"/>
      <c r="BA81" s="102"/>
      <c r="BB81" s="102"/>
      <c r="BC81" s="102"/>
      <c r="BD81" s="102"/>
      <c r="BE81" s="102"/>
      <c r="BF81" s="102"/>
      <c r="BG81" s="102"/>
      <c r="BH81" s="102"/>
      <c r="BI81" s="102"/>
      <c r="BJ81" s="102"/>
      <c r="BK81" s="102"/>
      <c r="BL81" s="102"/>
      <c r="BM81" s="102"/>
      <c r="BN81" s="102"/>
      <c r="BO81" s="102"/>
      <c r="BP81" s="102"/>
      <c r="BQ81" s="102"/>
    </row>
    <row r="82" spans="1:69" s="184" customFormat="1" ht="22.5" x14ac:dyDescent="0.15">
      <c r="A82" s="284">
        <v>23</v>
      </c>
      <c r="B82" s="182"/>
      <c r="C82" s="179" t="s">
        <v>516</v>
      </c>
      <c r="D82" s="180" t="s">
        <v>42</v>
      </c>
      <c r="E82" s="181">
        <v>6.6</v>
      </c>
      <c r="F82" s="26"/>
      <c r="G82" s="61"/>
      <c r="H82" s="26"/>
      <c r="I82" s="27"/>
      <c r="J82" s="27"/>
      <c r="K82" s="25"/>
      <c r="L82" s="25"/>
      <c r="M82" s="26"/>
      <c r="N82" s="27"/>
      <c r="O82" s="28"/>
      <c r="P82" s="29"/>
      <c r="Q82" s="195"/>
      <c r="R82" s="195"/>
      <c r="S82" s="195"/>
      <c r="T82" s="90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102"/>
      <c r="AY82" s="102"/>
      <c r="AZ82" s="102"/>
      <c r="BA82" s="102"/>
      <c r="BB82" s="102"/>
      <c r="BC82" s="102"/>
      <c r="BD82" s="102"/>
      <c r="BE82" s="102"/>
      <c r="BF82" s="102"/>
      <c r="BG82" s="102"/>
      <c r="BH82" s="102"/>
      <c r="BI82" s="102"/>
      <c r="BJ82" s="102"/>
      <c r="BK82" s="102"/>
      <c r="BL82" s="102"/>
      <c r="BM82" s="102"/>
      <c r="BN82" s="102"/>
    </row>
    <row r="83" spans="1:69" s="184" customFormat="1" ht="11.25" x14ac:dyDescent="0.15">
      <c r="A83" s="334"/>
      <c r="B83" s="176"/>
      <c r="C83" s="187" t="s">
        <v>656</v>
      </c>
      <c r="D83" s="180" t="s">
        <v>42</v>
      </c>
      <c r="E83" s="181">
        <f>ROUND(E82*1.1,2)</f>
        <v>7.26</v>
      </c>
      <c r="F83" s="26"/>
      <c r="G83" s="61"/>
      <c r="H83" s="26"/>
      <c r="I83" s="27"/>
      <c r="J83" s="27"/>
      <c r="K83" s="25"/>
      <c r="L83" s="25"/>
      <c r="M83" s="26"/>
      <c r="N83" s="27"/>
      <c r="O83" s="28"/>
      <c r="P83" s="29"/>
      <c r="Q83" s="195"/>
      <c r="R83" s="195"/>
      <c r="S83" s="195"/>
      <c r="T83" s="90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102"/>
      <c r="BF83" s="102"/>
      <c r="BG83" s="102"/>
      <c r="BH83" s="102"/>
      <c r="BI83" s="102"/>
      <c r="BJ83" s="102"/>
      <c r="BK83" s="102"/>
      <c r="BL83" s="102"/>
      <c r="BM83" s="102"/>
      <c r="BN83" s="102"/>
    </row>
    <row r="84" spans="1:69" s="184" customFormat="1" ht="11.25" x14ac:dyDescent="0.15">
      <c r="A84" s="334"/>
      <c r="B84" s="186"/>
      <c r="C84" s="185" t="s">
        <v>245</v>
      </c>
      <c r="D84" s="180" t="s">
        <v>246</v>
      </c>
      <c r="E84" s="181">
        <f>ROUND(E83/8*1,2)</f>
        <v>0.91</v>
      </c>
      <c r="F84" s="26"/>
      <c r="G84" s="61"/>
      <c r="H84" s="26"/>
      <c r="I84" s="27"/>
      <c r="J84" s="27"/>
      <c r="K84" s="25"/>
      <c r="L84" s="25"/>
      <c r="M84" s="26"/>
      <c r="N84" s="27"/>
      <c r="O84" s="28"/>
      <c r="P84" s="29"/>
      <c r="Q84" s="195"/>
      <c r="R84" s="195"/>
      <c r="S84" s="195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02"/>
      <c r="BC84" s="102"/>
      <c r="BD84" s="102"/>
      <c r="BE84" s="102"/>
      <c r="BF84" s="102"/>
      <c r="BG84" s="102"/>
      <c r="BH84" s="102"/>
      <c r="BI84" s="102"/>
      <c r="BJ84" s="102"/>
      <c r="BK84" s="102"/>
      <c r="BL84" s="102"/>
      <c r="BM84" s="102"/>
      <c r="BN84" s="102"/>
      <c r="BO84" s="102"/>
      <c r="BP84" s="102"/>
      <c r="BQ84" s="102"/>
    </row>
    <row r="85" spans="1:69" s="184" customFormat="1" ht="11.25" x14ac:dyDescent="0.15">
      <c r="A85" s="334"/>
      <c r="B85" s="186"/>
      <c r="C85" s="185" t="s">
        <v>247</v>
      </c>
      <c r="D85" s="180" t="s">
        <v>246</v>
      </c>
      <c r="E85" s="181">
        <f>ROUND(E83/8*2,2)</f>
        <v>1.82</v>
      </c>
      <c r="F85" s="26"/>
      <c r="G85" s="61"/>
      <c r="H85" s="26"/>
      <c r="I85" s="27"/>
      <c r="J85" s="27"/>
      <c r="K85" s="25"/>
      <c r="L85" s="25"/>
      <c r="M85" s="26"/>
      <c r="N85" s="27"/>
      <c r="O85" s="28"/>
      <c r="P85" s="29"/>
      <c r="Q85" s="195"/>
      <c r="R85" s="195"/>
      <c r="S85" s="195"/>
      <c r="T85" s="90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102"/>
      <c r="AY85" s="102"/>
      <c r="AZ85" s="102"/>
      <c r="BA85" s="102"/>
      <c r="BB85" s="102"/>
      <c r="BC85" s="102"/>
      <c r="BD85" s="102"/>
      <c r="BE85" s="102"/>
      <c r="BF85" s="102"/>
      <c r="BG85" s="102"/>
      <c r="BH85" s="102"/>
      <c r="BI85" s="102"/>
      <c r="BJ85" s="102"/>
      <c r="BK85" s="102"/>
      <c r="BL85" s="102"/>
      <c r="BM85" s="102"/>
      <c r="BN85" s="102"/>
    </row>
    <row r="86" spans="1:69" s="184" customFormat="1" ht="12" thickBot="1" x14ac:dyDescent="0.2">
      <c r="A86" s="334"/>
      <c r="B86" s="186"/>
      <c r="C86" s="185" t="s">
        <v>252</v>
      </c>
      <c r="D86" s="180" t="s">
        <v>48</v>
      </c>
      <c r="E86" s="183">
        <v>1</v>
      </c>
      <c r="F86" s="26"/>
      <c r="G86" s="61"/>
      <c r="H86" s="26"/>
      <c r="I86" s="27"/>
      <c r="J86" s="27"/>
      <c r="K86" s="25"/>
      <c r="L86" s="25"/>
      <c r="M86" s="26"/>
      <c r="N86" s="27"/>
      <c r="O86" s="28"/>
      <c r="P86" s="29"/>
      <c r="Q86" s="195"/>
      <c r="R86" s="195"/>
      <c r="S86" s="195"/>
      <c r="T86" s="207"/>
      <c r="U86" s="207"/>
      <c r="V86" s="207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102"/>
      <c r="AY86" s="102"/>
      <c r="AZ86" s="102"/>
      <c r="BA86" s="102"/>
      <c r="BB86" s="102"/>
      <c r="BC86" s="102"/>
      <c r="BD86" s="102"/>
      <c r="BE86" s="102"/>
      <c r="BF86" s="102"/>
      <c r="BG86" s="102"/>
      <c r="BH86" s="102"/>
      <c r="BI86" s="102"/>
      <c r="BJ86" s="102"/>
      <c r="BK86" s="102"/>
      <c r="BL86" s="102"/>
      <c r="BM86" s="102"/>
      <c r="BN86" s="102"/>
      <c r="BO86" s="102"/>
      <c r="BP86" s="102"/>
      <c r="BQ86" s="102"/>
    </row>
    <row r="87" spans="1:69" ht="15" customHeight="1" thickBo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2" t="s">
        <v>130</v>
      </c>
      <c r="L87" s="33">
        <f>ROUND(SUM(L15:L86),2)</f>
        <v>0</v>
      </c>
      <c r="M87" s="33">
        <f>ROUND(SUM(M15:M86),2)</f>
        <v>0</v>
      </c>
      <c r="N87" s="34">
        <f>ROUND(SUM(N15:N86),2)</f>
        <v>0</v>
      </c>
      <c r="O87" s="35">
        <f>ROUND(SUM(O15:O86),2)</f>
        <v>0</v>
      </c>
      <c r="P87" s="36">
        <f>ROUND(SUM(P15:P86),2)</f>
        <v>0</v>
      </c>
    </row>
    <row r="88" spans="1:69" ht="34.9" customHeight="1" x14ac:dyDescent="0.2">
      <c r="A88" s="37"/>
      <c r="B88" s="7"/>
      <c r="C88" s="38"/>
      <c r="D88" s="39"/>
      <c r="E88" s="5"/>
      <c r="F88" s="5"/>
      <c r="G88" s="5"/>
      <c r="H88" s="7"/>
      <c r="I88" s="7"/>
      <c r="J88" s="7"/>
      <c r="K88" s="7"/>
      <c r="L88" s="7"/>
      <c r="M88" s="7"/>
      <c r="N88" s="7"/>
      <c r="O88" s="7"/>
      <c r="P88" s="7"/>
    </row>
    <row r="89" spans="1:69" x14ac:dyDescent="0.2">
      <c r="A89" s="40"/>
      <c r="B89" s="41"/>
      <c r="C89" s="41" t="s">
        <v>10</v>
      </c>
      <c r="D89" s="42"/>
      <c r="E89" s="43"/>
      <c r="F89" s="44"/>
      <c r="G89" s="42"/>
      <c r="H89" s="45">
        <f>Kopsavilkums!C$43</f>
        <v>0</v>
      </c>
      <c r="I89" s="46" t="str">
        <f>Kopsavilkums!D$43</f>
        <v>datums</v>
      </c>
      <c r="J89" s="46"/>
      <c r="K89" s="41" t="s">
        <v>11</v>
      </c>
      <c r="L89" s="47"/>
      <c r="M89" s="44"/>
      <c r="N89" s="44"/>
      <c r="O89" s="45">
        <f>Kopsavilkums!C$48</f>
        <v>0</v>
      </c>
      <c r="P89" s="46" t="str">
        <f>Kopsavilkums!D$48</f>
        <v>datums</v>
      </c>
    </row>
    <row r="90" spans="1:69" x14ac:dyDescent="0.2">
      <c r="A90" s="48"/>
      <c r="B90" s="49"/>
      <c r="C90" s="50"/>
      <c r="D90" s="407" t="s">
        <v>12</v>
      </c>
      <c r="E90" s="407"/>
      <c r="F90" s="407"/>
      <c r="G90" s="407"/>
      <c r="H90" s="407"/>
      <c r="I90" s="7"/>
      <c r="J90" s="7"/>
      <c r="K90" s="7"/>
      <c r="L90" s="407" t="s">
        <v>12</v>
      </c>
      <c r="M90" s="407"/>
      <c r="N90" s="407"/>
      <c r="O90" s="407"/>
      <c r="P90" s="7"/>
    </row>
    <row r="91" spans="1:69" s="54" customFormat="1" x14ac:dyDescent="0.2">
      <c r="A91" s="37"/>
      <c r="B91" s="7"/>
      <c r="C91" s="38"/>
      <c r="D91" s="5"/>
      <c r="E91" s="5"/>
      <c r="F91" s="5"/>
      <c r="G91" s="5"/>
      <c r="H91" s="7"/>
      <c r="I91" s="7"/>
      <c r="J91" s="7"/>
      <c r="K91" s="7"/>
      <c r="L91" s="7"/>
      <c r="M91" s="7"/>
      <c r="N91" s="7"/>
      <c r="O91" s="7"/>
      <c r="P91" s="7"/>
      <c r="Q91" s="195"/>
      <c r="R91" s="195"/>
      <c r="S91" s="195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BO91" s="4"/>
      <c r="BP91" s="4"/>
      <c r="BQ91" s="4"/>
    </row>
    <row r="92" spans="1:69" s="54" customFormat="1" x14ac:dyDescent="0.2">
      <c r="A92" s="51"/>
      <c r="B92" s="46"/>
      <c r="C92" s="52"/>
      <c r="D92" s="52" t="str">
        <f>Kopsavilkums!B$46</f>
        <v>-</v>
      </c>
      <c r="E92" s="5"/>
      <c r="F92" s="5"/>
      <c r="G92" s="5"/>
      <c r="H92" s="7"/>
      <c r="I92" s="7"/>
      <c r="J92" s="7"/>
      <c r="K92" s="7"/>
      <c r="L92" s="52" t="str">
        <f>Kopsavilkums!B$51</f>
        <v>Sert.Nr.</v>
      </c>
      <c r="M92" s="53"/>
      <c r="N92" s="7"/>
      <c r="O92" s="7"/>
      <c r="P92" s="7"/>
      <c r="Q92" s="195"/>
      <c r="R92" s="195"/>
      <c r="S92" s="195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BO92" s="4"/>
      <c r="BP92" s="4"/>
      <c r="BQ92" s="4"/>
    </row>
    <row r="93" spans="1:69" s="54" customFormat="1" x14ac:dyDescent="0.25">
      <c r="Q93" s="195"/>
      <c r="R93" s="195"/>
      <c r="S93" s="195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</row>
    <row r="94" spans="1:69" s="54" customFormat="1" x14ac:dyDescent="0.25">
      <c r="Q94" s="195"/>
      <c r="R94" s="195"/>
      <c r="S94" s="195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</row>
    <row r="95" spans="1:69" s="54" customFormat="1" x14ac:dyDescent="0.25">
      <c r="Q95" s="195"/>
      <c r="R95" s="195"/>
      <c r="S95" s="195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</row>
    <row r="96" spans="1:69" s="54" customFormat="1" x14ac:dyDescent="0.25">
      <c r="Q96" s="195"/>
      <c r="R96" s="195"/>
      <c r="S96" s="195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</row>
    <row r="97" spans="17:45" s="54" customFormat="1" x14ac:dyDescent="0.25">
      <c r="Q97" s="195"/>
      <c r="R97" s="195"/>
      <c r="S97" s="195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</row>
    <row r="98" spans="17:45" s="54" customFormat="1" x14ac:dyDescent="0.25">
      <c r="Q98" s="195"/>
      <c r="R98" s="195"/>
      <c r="S98" s="195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</row>
    <row r="99" spans="17:45" s="54" customFormat="1" x14ac:dyDescent="0.25">
      <c r="Q99" s="195"/>
      <c r="R99" s="195"/>
      <c r="S99" s="195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</row>
    <row r="100" spans="17:45" s="54" customFormat="1" x14ac:dyDescent="0.25">
      <c r="Q100" s="195"/>
      <c r="R100" s="195"/>
      <c r="S100" s="195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</row>
    <row r="101" spans="17:45" s="54" customFormat="1" x14ac:dyDescent="0.25">
      <c r="Q101" s="195"/>
      <c r="R101" s="195"/>
      <c r="S101" s="195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</row>
    <row r="102" spans="17:45" s="54" customFormat="1" x14ac:dyDescent="0.25">
      <c r="Q102" s="195"/>
      <c r="R102" s="195"/>
      <c r="S102" s="195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</row>
    <row r="103" spans="17:45" s="54" customFormat="1" x14ac:dyDescent="0.25">
      <c r="Q103" s="195"/>
      <c r="R103" s="195"/>
      <c r="S103" s="195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</row>
    <row r="104" spans="17:45" s="54" customFormat="1" x14ac:dyDescent="0.25">
      <c r="Q104" s="195"/>
      <c r="R104" s="195"/>
      <c r="S104" s="195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</row>
    <row r="105" spans="17:45" s="54" customFormat="1" x14ac:dyDescent="0.25">
      <c r="Q105" s="195"/>
      <c r="R105" s="195"/>
      <c r="S105" s="195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</row>
    <row r="106" spans="17:45" s="54" customFormat="1" x14ac:dyDescent="0.25">
      <c r="Q106" s="195"/>
      <c r="R106" s="195"/>
      <c r="S106" s="195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</row>
    <row r="107" spans="17:45" s="54" customFormat="1" x14ac:dyDescent="0.25">
      <c r="Q107" s="195"/>
      <c r="R107" s="195"/>
      <c r="S107" s="195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</row>
    <row r="108" spans="17:45" s="54" customFormat="1" x14ac:dyDescent="0.25">
      <c r="Q108" s="195"/>
      <c r="R108" s="195"/>
      <c r="S108" s="195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</row>
    <row r="109" spans="17:45" s="54" customFormat="1" x14ac:dyDescent="0.25">
      <c r="Q109" s="195"/>
      <c r="R109" s="195"/>
      <c r="S109" s="195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</row>
    <row r="110" spans="17:45" s="54" customFormat="1" x14ac:dyDescent="0.25">
      <c r="Q110" s="195"/>
      <c r="R110" s="195"/>
      <c r="S110" s="195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</row>
    <row r="111" spans="17:45" s="54" customFormat="1" x14ac:dyDescent="0.25">
      <c r="Q111" s="195"/>
      <c r="R111" s="195"/>
      <c r="S111" s="195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</row>
    <row r="112" spans="17:45" s="54" customFormat="1" x14ac:dyDescent="0.25">
      <c r="Q112" s="195"/>
      <c r="R112" s="195"/>
      <c r="S112" s="195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</row>
    <row r="113" spans="17:45" s="54" customFormat="1" x14ac:dyDescent="0.25">
      <c r="Q113" s="195"/>
      <c r="R113" s="195"/>
      <c r="S113" s="195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</row>
    <row r="114" spans="17:45" s="54" customFormat="1" x14ac:dyDescent="0.25">
      <c r="Q114" s="195"/>
      <c r="R114" s="195"/>
      <c r="S114" s="195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</row>
    <row r="115" spans="17:45" s="54" customFormat="1" x14ac:dyDescent="0.25">
      <c r="Q115" s="195"/>
      <c r="R115" s="195"/>
      <c r="S115" s="195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</row>
    <row r="116" spans="17:45" s="54" customFormat="1" x14ac:dyDescent="0.25">
      <c r="Q116" s="195"/>
      <c r="R116" s="195"/>
      <c r="S116" s="195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</row>
    <row r="117" spans="17:45" s="54" customFormat="1" x14ac:dyDescent="0.25">
      <c r="Q117" s="195"/>
      <c r="R117" s="195"/>
      <c r="S117" s="195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</row>
    <row r="118" spans="17:45" s="54" customFormat="1" x14ac:dyDescent="0.25">
      <c r="Q118" s="195"/>
      <c r="R118" s="195"/>
      <c r="S118" s="195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</row>
    <row r="119" spans="17:45" s="54" customFormat="1" x14ac:dyDescent="0.25">
      <c r="Q119" s="195"/>
      <c r="R119" s="195"/>
      <c r="S119" s="195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</row>
    <row r="120" spans="17:45" s="54" customFormat="1" x14ac:dyDescent="0.25">
      <c r="Q120" s="195"/>
      <c r="R120" s="195"/>
      <c r="S120" s="195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</row>
    <row r="121" spans="17:45" s="54" customFormat="1" x14ac:dyDescent="0.25">
      <c r="Q121" s="195"/>
      <c r="R121" s="195"/>
      <c r="S121" s="195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</row>
    <row r="122" spans="17:45" s="54" customFormat="1" x14ac:dyDescent="0.25">
      <c r="Q122" s="195"/>
      <c r="R122" s="195"/>
      <c r="S122" s="195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</row>
    <row r="123" spans="17:45" s="54" customFormat="1" x14ac:dyDescent="0.25">
      <c r="Q123" s="195"/>
      <c r="R123" s="195"/>
      <c r="S123" s="195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</row>
    <row r="124" spans="17:45" s="54" customFormat="1" x14ac:dyDescent="0.25">
      <c r="Q124" s="195"/>
      <c r="R124" s="195"/>
      <c r="S124" s="195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</row>
    <row r="125" spans="17:45" s="54" customFormat="1" x14ac:dyDescent="0.25">
      <c r="Q125" s="195"/>
      <c r="R125" s="195"/>
      <c r="S125" s="195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</row>
    <row r="126" spans="17:45" s="54" customFormat="1" x14ac:dyDescent="0.25">
      <c r="Q126" s="195"/>
      <c r="R126" s="195"/>
      <c r="S126" s="195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</row>
    <row r="127" spans="17:45" s="54" customFormat="1" x14ac:dyDescent="0.25">
      <c r="Q127" s="195"/>
      <c r="R127" s="195"/>
      <c r="S127" s="195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</row>
    <row r="128" spans="17:45" s="54" customFormat="1" x14ac:dyDescent="0.25">
      <c r="Q128" s="195"/>
      <c r="R128" s="195"/>
      <c r="S128" s="195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</row>
    <row r="129" spans="17:45" s="54" customFormat="1" x14ac:dyDescent="0.25">
      <c r="Q129" s="195"/>
      <c r="R129" s="195"/>
      <c r="S129" s="195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</row>
    <row r="130" spans="17:45" s="54" customFormat="1" x14ac:dyDescent="0.25">
      <c r="Q130" s="195"/>
      <c r="R130" s="195"/>
      <c r="S130" s="195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</row>
    <row r="131" spans="17:45" s="54" customFormat="1" x14ac:dyDescent="0.25">
      <c r="Q131" s="195"/>
      <c r="R131" s="195"/>
      <c r="S131" s="195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</row>
    <row r="132" spans="17:45" s="54" customFormat="1" x14ac:dyDescent="0.25">
      <c r="Q132" s="195"/>
      <c r="R132" s="195"/>
      <c r="S132" s="195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</row>
    <row r="133" spans="17:45" s="54" customFormat="1" x14ac:dyDescent="0.25">
      <c r="Q133" s="195"/>
      <c r="R133" s="195"/>
      <c r="S133" s="195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</row>
    <row r="134" spans="17:45" s="54" customFormat="1" x14ac:dyDescent="0.25">
      <c r="Q134" s="195"/>
      <c r="R134" s="195"/>
      <c r="S134" s="195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</row>
    <row r="135" spans="17:45" s="54" customFormat="1" x14ac:dyDescent="0.25">
      <c r="Q135" s="195"/>
      <c r="R135" s="195"/>
      <c r="S135" s="195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</row>
    <row r="136" spans="17:45" s="54" customFormat="1" x14ac:dyDescent="0.25">
      <c r="Q136" s="195"/>
      <c r="R136" s="195"/>
      <c r="S136" s="195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</row>
    <row r="137" spans="17:45" s="54" customFormat="1" x14ac:dyDescent="0.25">
      <c r="Q137" s="195"/>
      <c r="R137" s="195"/>
      <c r="S137" s="195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</row>
    <row r="138" spans="17:45" s="54" customFormat="1" x14ac:dyDescent="0.25">
      <c r="Q138" s="195"/>
      <c r="R138" s="195"/>
      <c r="S138" s="195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</row>
    <row r="139" spans="17:45" s="54" customFormat="1" x14ac:dyDescent="0.25">
      <c r="Q139" s="195"/>
      <c r="R139" s="195"/>
      <c r="S139" s="195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</row>
    <row r="140" spans="17:45" s="54" customFormat="1" x14ac:dyDescent="0.25">
      <c r="Q140" s="195"/>
      <c r="R140" s="195"/>
      <c r="S140" s="195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</row>
    <row r="141" spans="17:45" s="54" customFormat="1" x14ac:dyDescent="0.25">
      <c r="Q141" s="195"/>
      <c r="R141" s="195"/>
      <c r="S141" s="195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</row>
    <row r="142" spans="17:45" s="54" customFormat="1" x14ac:dyDescent="0.25">
      <c r="Q142" s="195"/>
      <c r="R142" s="195"/>
      <c r="S142" s="195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</row>
    <row r="143" spans="17:45" s="54" customFormat="1" x14ac:dyDescent="0.25">
      <c r="Q143" s="195"/>
      <c r="R143" s="195"/>
      <c r="S143" s="195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</row>
    <row r="144" spans="17:45" s="54" customFormat="1" x14ac:dyDescent="0.25">
      <c r="Q144" s="195"/>
      <c r="R144" s="195"/>
      <c r="S144" s="195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</row>
    <row r="145" spans="17:45" s="54" customFormat="1" x14ac:dyDescent="0.25">
      <c r="Q145" s="195"/>
      <c r="R145" s="195"/>
      <c r="S145" s="195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</row>
    <row r="146" spans="17:45" s="54" customFormat="1" x14ac:dyDescent="0.25">
      <c r="Q146" s="195"/>
      <c r="R146" s="195"/>
      <c r="S146" s="195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</row>
    <row r="147" spans="17:45" s="54" customFormat="1" x14ac:dyDescent="0.25">
      <c r="Q147" s="195"/>
      <c r="R147" s="195"/>
      <c r="S147" s="195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</row>
    <row r="148" spans="17:45" s="54" customFormat="1" x14ac:dyDescent="0.25">
      <c r="Q148" s="195"/>
      <c r="R148" s="195"/>
      <c r="S148" s="195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</row>
    <row r="149" spans="17:45" s="54" customFormat="1" x14ac:dyDescent="0.25">
      <c r="Q149" s="195"/>
      <c r="R149" s="195"/>
      <c r="S149" s="195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</row>
    <row r="150" spans="17:45" s="54" customFormat="1" x14ac:dyDescent="0.25">
      <c r="Q150" s="195"/>
      <c r="R150" s="195"/>
      <c r="S150" s="195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</row>
    <row r="151" spans="17:45" s="54" customFormat="1" x14ac:dyDescent="0.25">
      <c r="Q151" s="195"/>
      <c r="R151" s="195"/>
      <c r="S151" s="195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</row>
    <row r="152" spans="17:45" s="54" customFormat="1" x14ac:dyDescent="0.25">
      <c r="Q152" s="195"/>
      <c r="R152" s="195"/>
      <c r="S152" s="195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</row>
    <row r="153" spans="17:45" s="54" customFormat="1" x14ac:dyDescent="0.25">
      <c r="Q153" s="195"/>
      <c r="R153" s="195"/>
      <c r="S153" s="195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</row>
    <row r="154" spans="17:45" s="54" customFormat="1" x14ac:dyDescent="0.25">
      <c r="Q154" s="195"/>
      <c r="R154" s="195"/>
      <c r="S154" s="195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</row>
    <row r="155" spans="17:45" s="54" customFormat="1" x14ac:dyDescent="0.25">
      <c r="Q155" s="195"/>
      <c r="R155" s="195"/>
      <c r="S155" s="195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</row>
    <row r="156" spans="17:45" s="54" customFormat="1" x14ac:dyDescent="0.25">
      <c r="Q156" s="195"/>
      <c r="R156" s="195"/>
      <c r="S156" s="195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</row>
    <row r="157" spans="17:45" s="54" customFormat="1" x14ac:dyDescent="0.25">
      <c r="Q157" s="195"/>
      <c r="R157" s="195"/>
      <c r="S157" s="195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</row>
    <row r="158" spans="17:45" s="54" customFormat="1" x14ac:dyDescent="0.25">
      <c r="Q158" s="195"/>
      <c r="R158" s="195"/>
      <c r="S158" s="195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</row>
    <row r="159" spans="17:45" s="54" customFormat="1" x14ac:dyDescent="0.25">
      <c r="Q159" s="195"/>
      <c r="R159" s="195"/>
      <c r="S159" s="195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</row>
    <row r="160" spans="17:45" s="54" customFormat="1" x14ac:dyDescent="0.25">
      <c r="Q160" s="195"/>
      <c r="R160" s="195"/>
      <c r="S160" s="195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</row>
    <row r="161" spans="17:45" s="54" customFormat="1" x14ac:dyDescent="0.25">
      <c r="Q161" s="195"/>
      <c r="R161" s="195"/>
      <c r="S161" s="195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</row>
    <row r="162" spans="17:45" s="54" customFormat="1" x14ac:dyDescent="0.25">
      <c r="Q162" s="195"/>
      <c r="R162" s="195"/>
      <c r="S162" s="195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</row>
    <row r="163" spans="17:45" s="54" customFormat="1" x14ac:dyDescent="0.25">
      <c r="Q163" s="195"/>
      <c r="R163" s="195"/>
      <c r="S163" s="195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</row>
    <row r="164" spans="17:45" s="54" customFormat="1" x14ac:dyDescent="0.25">
      <c r="Q164" s="195"/>
      <c r="R164" s="195"/>
      <c r="S164" s="195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</row>
    <row r="165" spans="17:45" s="54" customFormat="1" x14ac:dyDescent="0.25">
      <c r="Q165" s="195"/>
      <c r="R165" s="195"/>
      <c r="S165" s="195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</row>
    <row r="166" spans="17:45" s="54" customFormat="1" x14ac:dyDescent="0.25">
      <c r="Q166" s="195"/>
      <c r="R166" s="195"/>
      <c r="S166" s="195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</row>
    <row r="167" spans="17:45" s="54" customFormat="1" x14ac:dyDescent="0.25">
      <c r="Q167" s="195"/>
      <c r="R167" s="195"/>
      <c r="S167" s="195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</row>
    <row r="168" spans="17:45" s="54" customFormat="1" x14ac:dyDescent="0.25">
      <c r="Q168" s="195"/>
      <c r="R168" s="195"/>
      <c r="S168" s="195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</row>
    <row r="169" spans="17:45" s="54" customFormat="1" x14ac:dyDescent="0.25">
      <c r="Q169" s="195"/>
      <c r="R169" s="195"/>
      <c r="S169" s="195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</row>
    <row r="170" spans="17:45" s="54" customFormat="1" x14ac:dyDescent="0.25">
      <c r="Q170" s="195"/>
      <c r="R170" s="195"/>
      <c r="S170" s="195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</row>
    <row r="171" spans="17:45" s="54" customFormat="1" x14ac:dyDescent="0.25">
      <c r="Q171" s="195"/>
      <c r="R171" s="195"/>
      <c r="S171" s="195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</row>
    <row r="172" spans="17:45" s="54" customFormat="1" x14ac:dyDescent="0.25">
      <c r="Q172" s="195"/>
      <c r="R172" s="195"/>
      <c r="S172" s="195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</row>
    <row r="173" spans="17:45" s="54" customFormat="1" x14ac:dyDescent="0.25">
      <c r="Q173" s="195"/>
      <c r="R173" s="195"/>
      <c r="S173" s="195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</row>
    <row r="174" spans="17:45" s="54" customFormat="1" x14ac:dyDescent="0.25">
      <c r="Q174" s="195"/>
      <c r="R174" s="195"/>
      <c r="S174" s="195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</row>
    <row r="175" spans="17:45" s="54" customFormat="1" x14ac:dyDescent="0.25">
      <c r="Q175" s="195"/>
      <c r="R175" s="195"/>
      <c r="S175" s="195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</row>
    <row r="176" spans="17:45" s="54" customFormat="1" x14ac:dyDescent="0.25">
      <c r="Q176" s="195"/>
      <c r="R176" s="195"/>
      <c r="S176" s="195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</row>
    <row r="177" spans="17:45" s="54" customFormat="1" x14ac:dyDescent="0.25">
      <c r="Q177" s="195"/>
      <c r="R177" s="195"/>
      <c r="S177" s="195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</row>
    <row r="178" spans="17:45" s="54" customFormat="1" x14ac:dyDescent="0.25">
      <c r="Q178" s="195"/>
      <c r="R178" s="195"/>
      <c r="S178" s="195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</row>
    <row r="179" spans="17:45" s="54" customFormat="1" x14ac:dyDescent="0.25">
      <c r="Q179" s="195"/>
      <c r="R179" s="195"/>
      <c r="S179" s="195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</row>
    <row r="180" spans="17:45" s="54" customFormat="1" x14ac:dyDescent="0.25">
      <c r="Q180" s="195"/>
      <c r="R180" s="195"/>
      <c r="S180" s="195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</row>
    <row r="181" spans="17:45" s="54" customFormat="1" x14ac:dyDescent="0.25">
      <c r="Q181" s="195"/>
      <c r="R181" s="195"/>
      <c r="S181" s="195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</row>
    <row r="182" spans="17:45" s="54" customFormat="1" x14ac:dyDescent="0.25">
      <c r="Q182" s="195"/>
      <c r="R182" s="195"/>
      <c r="S182" s="195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</row>
    <row r="183" spans="17:45" s="54" customFormat="1" x14ac:dyDescent="0.25">
      <c r="Q183" s="195"/>
      <c r="R183" s="195"/>
      <c r="S183" s="195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</row>
    <row r="184" spans="17:45" s="54" customFormat="1" x14ac:dyDescent="0.25">
      <c r="Q184" s="195"/>
      <c r="R184" s="195"/>
      <c r="S184" s="195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</row>
    <row r="185" spans="17:45" s="54" customFormat="1" x14ac:dyDescent="0.25">
      <c r="Q185" s="195"/>
      <c r="R185" s="195"/>
      <c r="S185" s="195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</row>
    <row r="186" spans="17:45" s="54" customFormat="1" x14ac:dyDescent="0.25">
      <c r="Q186" s="195"/>
      <c r="R186" s="195"/>
      <c r="S186" s="195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</row>
    <row r="187" spans="17:45" s="54" customFormat="1" x14ac:dyDescent="0.25">
      <c r="Q187" s="195"/>
      <c r="R187" s="195"/>
      <c r="S187" s="195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</row>
    <row r="188" spans="17:45" s="54" customFormat="1" x14ac:dyDescent="0.25">
      <c r="Q188" s="195"/>
      <c r="R188" s="195"/>
      <c r="S188" s="195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</row>
    <row r="189" spans="17:45" s="54" customFormat="1" x14ac:dyDescent="0.25">
      <c r="Q189" s="195"/>
      <c r="R189" s="195"/>
      <c r="S189" s="195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</row>
    <row r="190" spans="17:45" s="54" customFormat="1" x14ac:dyDescent="0.25">
      <c r="Q190" s="195"/>
      <c r="R190" s="195"/>
      <c r="S190" s="195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</row>
    <row r="191" spans="17:45" s="54" customFormat="1" x14ac:dyDescent="0.25">
      <c r="Q191" s="195"/>
      <c r="R191" s="195"/>
      <c r="S191" s="195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</row>
    <row r="192" spans="17:45" s="54" customFormat="1" x14ac:dyDescent="0.25">
      <c r="Q192" s="195"/>
      <c r="R192" s="195"/>
      <c r="S192" s="195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</row>
    <row r="193" spans="17:45" s="54" customFormat="1" x14ac:dyDescent="0.25">
      <c r="Q193" s="195"/>
      <c r="R193" s="195"/>
      <c r="S193" s="195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</row>
    <row r="194" spans="17:45" s="54" customFormat="1" x14ac:dyDescent="0.25">
      <c r="Q194" s="195"/>
      <c r="R194" s="195"/>
      <c r="S194" s="195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</row>
    <row r="195" spans="17:45" s="54" customFormat="1" x14ac:dyDescent="0.25">
      <c r="Q195" s="195"/>
      <c r="R195" s="195"/>
      <c r="S195" s="195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</row>
    <row r="196" spans="17:45" s="54" customFormat="1" x14ac:dyDescent="0.25">
      <c r="Q196" s="195"/>
      <c r="R196" s="195"/>
      <c r="S196" s="195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</row>
    <row r="197" spans="17:45" s="54" customFormat="1" x14ac:dyDescent="0.25">
      <c r="Q197" s="195"/>
      <c r="R197" s="195"/>
      <c r="S197" s="195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</row>
    <row r="198" spans="17:45" s="54" customFormat="1" x14ac:dyDescent="0.25">
      <c r="Q198" s="195"/>
      <c r="R198" s="195"/>
      <c r="S198" s="195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</row>
    <row r="199" spans="17:45" s="54" customFormat="1" x14ac:dyDescent="0.25">
      <c r="Q199" s="195"/>
      <c r="R199" s="195"/>
      <c r="S199" s="195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</row>
    <row r="200" spans="17:45" s="54" customFormat="1" x14ac:dyDescent="0.25">
      <c r="Q200" s="195"/>
      <c r="R200" s="195"/>
      <c r="S200" s="195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</row>
    <row r="201" spans="17:45" s="54" customFormat="1" x14ac:dyDescent="0.25">
      <c r="Q201" s="195"/>
      <c r="R201" s="195"/>
      <c r="S201" s="195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</row>
    <row r="202" spans="17:45" s="54" customFormat="1" x14ac:dyDescent="0.25">
      <c r="Q202" s="195"/>
      <c r="R202" s="195"/>
      <c r="S202" s="195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</row>
    <row r="203" spans="17:45" s="54" customFormat="1" x14ac:dyDescent="0.25">
      <c r="Q203" s="195"/>
      <c r="R203" s="195"/>
      <c r="S203" s="195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</row>
    <row r="204" spans="17:45" s="54" customFormat="1" x14ac:dyDescent="0.25">
      <c r="Q204" s="195"/>
      <c r="R204" s="195"/>
      <c r="S204" s="195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</row>
    <row r="205" spans="17:45" s="54" customFormat="1" x14ac:dyDescent="0.25">
      <c r="Q205" s="195"/>
      <c r="R205" s="195"/>
      <c r="S205" s="195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</row>
    <row r="206" spans="17:45" s="54" customFormat="1" x14ac:dyDescent="0.25">
      <c r="Q206" s="195"/>
      <c r="R206" s="195"/>
      <c r="S206" s="195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</row>
    <row r="207" spans="17:45" s="54" customFormat="1" x14ac:dyDescent="0.25">
      <c r="Q207" s="195"/>
      <c r="R207" s="195"/>
      <c r="S207" s="195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</row>
    <row r="208" spans="17:45" s="54" customFormat="1" x14ac:dyDescent="0.25">
      <c r="Q208" s="195"/>
      <c r="R208" s="195"/>
      <c r="S208" s="195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</row>
    <row r="209" spans="17:45" s="54" customFormat="1" x14ac:dyDescent="0.25">
      <c r="Q209" s="195"/>
      <c r="R209" s="195"/>
      <c r="S209" s="195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</row>
    <row r="210" spans="17:45" s="54" customFormat="1" x14ac:dyDescent="0.25">
      <c r="Q210" s="195"/>
      <c r="R210" s="195"/>
      <c r="S210" s="195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</row>
    <row r="211" spans="17:45" s="54" customFormat="1" x14ac:dyDescent="0.25">
      <c r="Q211" s="195"/>
      <c r="R211" s="195"/>
      <c r="S211" s="195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</row>
    <row r="212" spans="17:45" s="54" customFormat="1" x14ac:dyDescent="0.25">
      <c r="Q212" s="195"/>
      <c r="R212" s="195"/>
      <c r="S212" s="195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</row>
    <row r="213" spans="17:45" s="54" customFormat="1" x14ac:dyDescent="0.25">
      <c r="Q213" s="195"/>
      <c r="R213" s="195"/>
      <c r="S213" s="195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</row>
    <row r="214" spans="17:45" s="54" customFormat="1" x14ac:dyDescent="0.25">
      <c r="Q214" s="195"/>
      <c r="R214" s="195"/>
      <c r="S214" s="195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</row>
    <row r="215" spans="17:45" s="54" customFormat="1" x14ac:dyDescent="0.25">
      <c r="Q215" s="195"/>
      <c r="R215" s="195"/>
      <c r="S215" s="195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</row>
    <row r="216" spans="17:45" s="54" customFormat="1" x14ac:dyDescent="0.25">
      <c r="Q216" s="195"/>
      <c r="R216" s="195"/>
      <c r="S216" s="195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</row>
    <row r="217" spans="17:45" s="54" customFormat="1" x14ac:dyDescent="0.25">
      <c r="Q217" s="195"/>
      <c r="R217" s="195"/>
      <c r="S217" s="195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</row>
    <row r="218" spans="17:45" s="54" customFormat="1" x14ac:dyDescent="0.25">
      <c r="Q218" s="195"/>
      <c r="R218" s="195"/>
      <c r="S218" s="195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</row>
    <row r="219" spans="17:45" s="54" customFormat="1" x14ac:dyDescent="0.25">
      <c r="Q219" s="195"/>
      <c r="R219" s="195"/>
      <c r="S219" s="195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</row>
    <row r="220" spans="17:45" s="54" customFormat="1" x14ac:dyDescent="0.25">
      <c r="Q220" s="195"/>
      <c r="R220" s="195"/>
      <c r="S220" s="195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</row>
    <row r="221" spans="17:45" s="54" customFormat="1" x14ac:dyDescent="0.25">
      <c r="Q221" s="195"/>
      <c r="R221" s="195"/>
      <c r="S221" s="195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</row>
    <row r="222" spans="17:45" s="54" customFormat="1" x14ac:dyDescent="0.25">
      <c r="Q222" s="195"/>
      <c r="R222" s="195"/>
      <c r="S222" s="195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</row>
    <row r="223" spans="17:45" s="54" customFormat="1" x14ac:dyDescent="0.25">
      <c r="Q223" s="195"/>
      <c r="R223" s="195"/>
      <c r="S223" s="195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</row>
    <row r="224" spans="17:45" s="54" customFormat="1" x14ac:dyDescent="0.25">
      <c r="Q224" s="195"/>
      <c r="R224" s="195"/>
      <c r="S224" s="195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</row>
    <row r="225" spans="17:45" s="54" customFormat="1" x14ac:dyDescent="0.25">
      <c r="Q225" s="195"/>
      <c r="R225" s="195"/>
      <c r="S225" s="195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</row>
    <row r="226" spans="17:45" s="54" customFormat="1" x14ac:dyDescent="0.25">
      <c r="Q226" s="195"/>
      <c r="R226" s="195"/>
      <c r="S226" s="195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</row>
    <row r="227" spans="17:45" s="54" customFormat="1" x14ac:dyDescent="0.25">
      <c r="Q227" s="195"/>
      <c r="R227" s="195"/>
      <c r="S227" s="195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</row>
    <row r="228" spans="17:45" s="54" customFormat="1" x14ac:dyDescent="0.25">
      <c r="Q228" s="195"/>
      <c r="R228" s="195"/>
      <c r="S228" s="195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</row>
    <row r="229" spans="17:45" s="54" customFormat="1" x14ac:dyDescent="0.25">
      <c r="Q229" s="195"/>
      <c r="R229" s="195"/>
      <c r="S229" s="195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</row>
    <row r="230" spans="17:45" s="54" customFormat="1" x14ac:dyDescent="0.25">
      <c r="Q230" s="195"/>
      <c r="R230" s="195"/>
      <c r="S230" s="195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</row>
    <row r="231" spans="17:45" s="54" customFormat="1" x14ac:dyDescent="0.25">
      <c r="Q231" s="195"/>
      <c r="R231" s="195"/>
      <c r="S231" s="195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</row>
    <row r="232" spans="17:45" s="54" customFormat="1" x14ac:dyDescent="0.25">
      <c r="Q232" s="195"/>
      <c r="R232" s="195"/>
      <c r="S232" s="195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</row>
    <row r="233" spans="17:45" s="54" customFormat="1" x14ac:dyDescent="0.25">
      <c r="Q233" s="195"/>
      <c r="R233" s="195"/>
      <c r="S233" s="195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</row>
    <row r="234" spans="17:45" s="54" customFormat="1" x14ac:dyDescent="0.25">
      <c r="Q234" s="195"/>
      <c r="R234" s="195"/>
      <c r="S234" s="195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</row>
    <row r="235" spans="17:45" s="54" customFormat="1" x14ac:dyDescent="0.25">
      <c r="Q235" s="195"/>
      <c r="R235" s="195"/>
      <c r="S235" s="195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</row>
    <row r="236" spans="17:45" s="54" customFormat="1" x14ac:dyDescent="0.25">
      <c r="Q236" s="195"/>
      <c r="R236" s="195"/>
      <c r="S236" s="195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</row>
    <row r="237" spans="17:45" s="54" customFormat="1" x14ac:dyDescent="0.25">
      <c r="Q237" s="195"/>
      <c r="R237" s="195"/>
      <c r="S237" s="195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</row>
    <row r="238" spans="17:45" s="54" customFormat="1" x14ac:dyDescent="0.25">
      <c r="Q238" s="195"/>
      <c r="R238" s="195"/>
      <c r="S238" s="195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</row>
    <row r="239" spans="17:45" s="54" customFormat="1" x14ac:dyDescent="0.25">
      <c r="Q239" s="195"/>
      <c r="R239" s="195"/>
      <c r="S239" s="195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</row>
    <row r="240" spans="17:45" s="54" customFormat="1" x14ac:dyDescent="0.25">
      <c r="Q240" s="195"/>
      <c r="R240" s="195"/>
      <c r="S240" s="195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</row>
    <row r="241" spans="17:45" s="54" customFormat="1" x14ac:dyDescent="0.25">
      <c r="Q241" s="195"/>
      <c r="R241" s="195"/>
      <c r="S241" s="195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</row>
    <row r="242" spans="17:45" s="54" customFormat="1" x14ac:dyDescent="0.25">
      <c r="Q242" s="195"/>
      <c r="R242" s="195"/>
      <c r="S242" s="195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</row>
    <row r="243" spans="17:45" s="54" customFormat="1" x14ac:dyDescent="0.25">
      <c r="Q243" s="195"/>
      <c r="R243" s="195"/>
      <c r="S243" s="195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</row>
    <row r="244" spans="17:45" s="54" customFormat="1" x14ac:dyDescent="0.25">
      <c r="Q244" s="195"/>
      <c r="R244" s="195"/>
      <c r="S244" s="195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</row>
    <row r="245" spans="17:45" s="54" customFormat="1" x14ac:dyDescent="0.25">
      <c r="Q245" s="195"/>
      <c r="R245" s="195"/>
      <c r="S245" s="195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</row>
    <row r="246" spans="17:45" s="54" customFormat="1" x14ac:dyDescent="0.25">
      <c r="Q246" s="195"/>
      <c r="R246" s="195"/>
      <c r="S246" s="195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</row>
    <row r="247" spans="17:45" s="54" customFormat="1" x14ac:dyDescent="0.25">
      <c r="Q247" s="195"/>
      <c r="R247" s="195"/>
      <c r="S247" s="195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</row>
    <row r="248" spans="17:45" s="54" customFormat="1" x14ac:dyDescent="0.25">
      <c r="Q248" s="195"/>
      <c r="R248" s="195"/>
      <c r="S248" s="195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</row>
    <row r="249" spans="17:45" s="54" customFormat="1" x14ac:dyDescent="0.25">
      <c r="Q249" s="195"/>
      <c r="R249" s="195"/>
      <c r="S249" s="195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</row>
    <row r="250" spans="17:45" s="54" customFormat="1" x14ac:dyDescent="0.25">
      <c r="Q250" s="195"/>
      <c r="R250" s="195"/>
      <c r="S250" s="195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</row>
    <row r="251" spans="17:45" s="54" customFormat="1" x14ac:dyDescent="0.25">
      <c r="Q251" s="195"/>
      <c r="R251" s="195"/>
      <c r="S251" s="195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</row>
    <row r="252" spans="17:45" s="54" customFormat="1" x14ac:dyDescent="0.25">
      <c r="Q252" s="195"/>
      <c r="R252" s="195"/>
      <c r="S252" s="195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</row>
    <row r="253" spans="17:45" s="54" customFormat="1" x14ac:dyDescent="0.25">
      <c r="Q253" s="195"/>
      <c r="R253" s="195"/>
      <c r="S253" s="195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</row>
    <row r="254" spans="17:45" s="54" customFormat="1" x14ac:dyDescent="0.25">
      <c r="Q254" s="195"/>
      <c r="R254" s="195"/>
      <c r="S254" s="195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</row>
    <row r="255" spans="17:45" s="54" customFormat="1" x14ac:dyDescent="0.25">
      <c r="Q255" s="195"/>
      <c r="R255" s="195"/>
      <c r="S255" s="195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</row>
    <row r="256" spans="17:45" s="54" customFormat="1" x14ac:dyDescent="0.25">
      <c r="Q256" s="195"/>
      <c r="R256" s="195"/>
      <c r="S256" s="195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</row>
    <row r="257" spans="17:45" s="54" customFormat="1" x14ac:dyDescent="0.25">
      <c r="Q257" s="195"/>
      <c r="R257" s="195"/>
      <c r="S257" s="195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</row>
    <row r="258" spans="17:45" s="54" customFormat="1" x14ac:dyDescent="0.25">
      <c r="Q258" s="195"/>
      <c r="R258" s="195"/>
      <c r="S258" s="195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</row>
    <row r="259" spans="17:45" s="54" customFormat="1" x14ac:dyDescent="0.25">
      <c r="Q259" s="195"/>
      <c r="R259" s="195"/>
      <c r="S259" s="195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</row>
    <row r="260" spans="17:45" s="54" customFormat="1" x14ac:dyDescent="0.25">
      <c r="Q260" s="195"/>
      <c r="R260" s="195"/>
      <c r="S260" s="195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</row>
    <row r="261" spans="17:45" s="54" customFormat="1" x14ac:dyDescent="0.25">
      <c r="Q261" s="195"/>
      <c r="R261" s="195"/>
      <c r="S261" s="195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</row>
    <row r="262" spans="17:45" s="54" customFormat="1" x14ac:dyDescent="0.25">
      <c r="Q262" s="195"/>
      <c r="R262" s="195"/>
      <c r="S262" s="195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</row>
    <row r="263" spans="17:45" s="54" customFormat="1" x14ac:dyDescent="0.25">
      <c r="Q263" s="195"/>
      <c r="R263" s="195"/>
      <c r="S263" s="195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</row>
    <row r="264" spans="17:45" s="54" customFormat="1" x14ac:dyDescent="0.25">
      <c r="Q264" s="195"/>
      <c r="R264" s="195"/>
      <c r="S264" s="195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</row>
    <row r="265" spans="17:45" s="54" customFormat="1" x14ac:dyDescent="0.25">
      <c r="Q265" s="195"/>
      <c r="R265" s="195"/>
      <c r="S265" s="195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</row>
    <row r="266" spans="17:45" s="54" customFormat="1" x14ac:dyDescent="0.25">
      <c r="Q266" s="195"/>
      <c r="R266" s="195"/>
      <c r="S266" s="195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</row>
    <row r="267" spans="17:45" s="54" customFormat="1" x14ac:dyDescent="0.25">
      <c r="Q267" s="195"/>
      <c r="R267" s="195"/>
      <c r="S267" s="195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</row>
    <row r="268" spans="17:45" s="54" customFormat="1" x14ac:dyDescent="0.25">
      <c r="Q268" s="195"/>
      <c r="R268" s="195"/>
      <c r="S268" s="195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</row>
    <row r="269" spans="17:45" s="54" customFormat="1" x14ac:dyDescent="0.25">
      <c r="Q269" s="195"/>
      <c r="R269" s="195"/>
      <c r="S269" s="195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</row>
    <row r="270" spans="17:45" s="54" customFormat="1" x14ac:dyDescent="0.25">
      <c r="Q270" s="195"/>
      <c r="R270" s="195"/>
      <c r="S270" s="195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</row>
    <row r="271" spans="17:45" s="54" customFormat="1" x14ac:dyDescent="0.25">
      <c r="Q271" s="195"/>
      <c r="R271" s="195"/>
      <c r="S271" s="195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</row>
    <row r="272" spans="17:45" s="54" customFormat="1" x14ac:dyDescent="0.25">
      <c r="Q272" s="195"/>
      <c r="R272" s="195"/>
      <c r="S272" s="195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</row>
    <row r="273" spans="17:45" s="54" customFormat="1" x14ac:dyDescent="0.25">
      <c r="Q273" s="195"/>
      <c r="R273" s="195"/>
      <c r="S273" s="195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</row>
    <row r="274" spans="17:45" s="54" customFormat="1" x14ac:dyDescent="0.25">
      <c r="Q274" s="195"/>
      <c r="R274" s="195"/>
      <c r="S274" s="195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</row>
    <row r="275" spans="17:45" s="54" customFormat="1" x14ac:dyDescent="0.25">
      <c r="Q275" s="195"/>
      <c r="R275" s="195"/>
      <c r="S275" s="195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</row>
    <row r="276" spans="17:45" s="54" customFormat="1" x14ac:dyDescent="0.25">
      <c r="Q276" s="195"/>
      <c r="R276" s="195"/>
      <c r="S276" s="195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</row>
    <row r="277" spans="17:45" s="54" customFormat="1" x14ac:dyDescent="0.25">
      <c r="Q277" s="195"/>
      <c r="R277" s="195"/>
      <c r="S277" s="195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</row>
    <row r="278" spans="17:45" s="54" customFormat="1" x14ac:dyDescent="0.25">
      <c r="Q278" s="195"/>
      <c r="R278" s="195"/>
      <c r="S278" s="195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</row>
    <row r="279" spans="17:45" s="54" customFormat="1" x14ac:dyDescent="0.25">
      <c r="Q279" s="195"/>
      <c r="R279" s="195"/>
      <c r="S279" s="195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</row>
    <row r="280" spans="17:45" s="54" customFormat="1" x14ac:dyDescent="0.25">
      <c r="Q280" s="195"/>
      <c r="R280" s="195"/>
      <c r="S280" s="195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</row>
    <row r="281" spans="17:45" s="54" customFormat="1" x14ac:dyDescent="0.25">
      <c r="Q281" s="195"/>
      <c r="R281" s="195"/>
      <c r="S281" s="195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</row>
    <row r="282" spans="17:45" s="54" customFormat="1" x14ac:dyDescent="0.25">
      <c r="Q282" s="195"/>
      <c r="R282" s="195"/>
      <c r="S282" s="195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</row>
    <row r="283" spans="17:45" s="54" customFormat="1" x14ac:dyDescent="0.25">
      <c r="Q283" s="195"/>
      <c r="R283" s="195"/>
      <c r="S283" s="195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</row>
    <row r="284" spans="17:45" s="54" customFormat="1" x14ac:dyDescent="0.25">
      <c r="Q284" s="195"/>
      <c r="R284" s="195"/>
      <c r="S284" s="195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</row>
    <row r="285" spans="17:45" s="54" customFormat="1" x14ac:dyDescent="0.25">
      <c r="Q285" s="195"/>
      <c r="R285" s="195"/>
      <c r="S285" s="195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</row>
    <row r="286" spans="17:45" s="54" customFormat="1" x14ac:dyDescent="0.25">
      <c r="Q286" s="195"/>
      <c r="R286" s="195"/>
      <c r="S286" s="195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</row>
    <row r="287" spans="17:45" s="54" customFormat="1" x14ac:dyDescent="0.25">
      <c r="Q287" s="195"/>
      <c r="R287" s="195"/>
      <c r="S287" s="195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</row>
    <row r="288" spans="17:45" s="54" customFormat="1" x14ac:dyDescent="0.25">
      <c r="Q288" s="195"/>
      <c r="R288" s="195"/>
      <c r="S288" s="195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</row>
    <row r="289" spans="17:45" s="54" customFormat="1" x14ac:dyDescent="0.25">
      <c r="Q289" s="195"/>
      <c r="R289" s="195"/>
      <c r="S289" s="195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</row>
    <row r="290" spans="17:45" s="54" customFormat="1" x14ac:dyDescent="0.25">
      <c r="Q290" s="195"/>
      <c r="R290" s="195"/>
      <c r="S290" s="195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</row>
    <row r="291" spans="17:45" s="54" customFormat="1" x14ac:dyDescent="0.25">
      <c r="Q291" s="195"/>
      <c r="R291" s="195"/>
      <c r="S291" s="195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</row>
    <row r="292" spans="17:45" s="54" customFormat="1" x14ac:dyDescent="0.25">
      <c r="Q292" s="195"/>
      <c r="R292" s="195"/>
      <c r="S292" s="195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</row>
    <row r="293" spans="17:45" s="54" customFormat="1" x14ac:dyDescent="0.25">
      <c r="Q293" s="195"/>
      <c r="R293" s="195"/>
      <c r="S293" s="195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</row>
    <row r="294" spans="17:45" s="54" customFormat="1" x14ac:dyDescent="0.25">
      <c r="Q294" s="195"/>
      <c r="R294" s="195"/>
      <c r="S294" s="195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</row>
    <row r="295" spans="17:45" s="54" customFormat="1" x14ac:dyDescent="0.25">
      <c r="Q295" s="195"/>
      <c r="R295" s="195"/>
      <c r="S295" s="195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</row>
    <row r="296" spans="17:45" s="54" customFormat="1" x14ac:dyDescent="0.25">
      <c r="Q296" s="195"/>
      <c r="R296" s="195"/>
      <c r="S296" s="195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</row>
    <row r="297" spans="17:45" s="54" customFormat="1" x14ac:dyDescent="0.25">
      <c r="Q297" s="195"/>
      <c r="R297" s="195"/>
      <c r="S297" s="195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</row>
    <row r="298" spans="17:45" s="54" customFormat="1" x14ac:dyDescent="0.25">
      <c r="Q298" s="195"/>
      <c r="R298" s="195"/>
      <c r="S298" s="195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</row>
    <row r="299" spans="17:45" s="54" customFormat="1" x14ac:dyDescent="0.25">
      <c r="Q299" s="195"/>
      <c r="R299" s="195"/>
      <c r="S299" s="195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</row>
    <row r="300" spans="17:45" s="54" customFormat="1" x14ac:dyDescent="0.25">
      <c r="Q300" s="195"/>
      <c r="R300" s="195"/>
      <c r="S300" s="195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</row>
    <row r="301" spans="17:45" s="54" customFormat="1" x14ac:dyDescent="0.25">
      <c r="Q301" s="195"/>
      <c r="R301" s="195"/>
      <c r="S301" s="195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</row>
    <row r="302" spans="17:45" s="54" customFormat="1" x14ac:dyDescent="0.25">
      <c r="Q302" s="195"/>
      <c r="R302" s="195"/>
      <c r="S302" s="195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</row>
    <row r="303" spans="17:45" s="54" customFormat="1" x14ac:dyDescent="0.25">
      <c r="Q303" s="195"/>
      <c r="R303" s="195"/>
      <c r="S303" s="195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</row>
    <row r="304" spans="17:45" s="54" customFormat="1" x14ac:dyDescent="0.25">
      <c r="Q304" s="195"/>
      <c r="R304" s="195"/>
      <c r="S304" s="195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</row>
    <row r="305" spans="17:45" s="54" customFormat="1" x14ac:dyDescent="0.25">
      <c r="Q305" s="195"/>
      <c r="R305" s="195"/>
      <c r="S305" s="195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</row>
    <row r="306" spans="17:45" s="54" customFormat="1" x14ac:dyDescent="0.25">
      <c r="Q306" s="195"/>
      <c r="R306" s="195"/>
      <c r="S306" s="195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</row>
    <row r="307" spans="17:45" s="54" customFormat="1" x14ac:dyDescent="0.25">
      <c r="Q307" s="195"/>
      <c r="R307" s="195"/>
      <c r="S307" s="195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</row>
    <row r="308" spans="17:45" s="54" customFormat="1" x14ac:dyDescent="0.25">
      <c r="Q308" s="195"/>
      <c r="R308" s="195"/>
      <c r="S308" s="195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</row>
    <row r="309" spans="17:45" s="54" customFormat="1" x14ac:dyDescent="0.25">
      <c r="Q309" s="195"/>
      <c r="R309" s="195"/>
      <c r="S309" s="195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</row>
    <row r="310" spans="17:45" s="54" customFormat="1" x14ac:dyDescent="0.25">
      <c r="Q310" s="195"/>
      <c r="R310" s="195"/>
      <c r="S310" s="195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</row>
    <row r="311" spans="17:45" s="54" customFormat="1" x14ac:dyDescent="0.25">
      <c r="Q311" s="195"/>
      <c r="R311" s="195"/>
      <c r="S311" s="195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</row>
    <row r="312" spans="17:45" s="54" customFormat="1" x14ac:dyDescent="0.25">
      <c r="Q312" s="195"/>
      <c r="R312" s="195"/>
      <c r="S312" s="195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</row>
    <row r="313" spans="17:45" s="54" customFormat="1" x14ac:dyDescent="0.25">
      <c r="Q313" s="195"/>
      <c r="R313" s="195"/>
      <c r="S313" s="195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</row>
    <row r="314" spans="17:45" s="54" customFormat="1" x14ac:dyDescent="0.25">
      <c r="Q314" s="195"/>
      <c r="R314" s="195"/>
      <c r="S314" s="195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</row>
    <row r="315" spans="17:45" s="54" customFormat="1" x14ac:dyDescent="0.25">
      <c r="Q315" s="195"/>
      <c r="R315" s="195"/>
      <c r="S315" s="195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</row>
    <row r="316" spans="17:45" s="54" customFormat="1" x14ac:dyDescent="0.25">
      <c r="Q316" s="195"/>
      <c r="R316" s="195"/>
      <c r="S316" s="195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</row>
    <row r="317" spans="17:45" s="54" customFormat="1" x14ac:dyDescent="0.25">
      <c r="Q317" s="195"/>
      <c r="R317" s="195"/>
      <c r="S317" s="195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</row>
    <row r="318" spans="17:45" s="54" customFormat="1" x14ac:dyDescent="0.25">
      <c r="Q318" s="195"/>
      <c r="R318" s="195"/>
      <c r="S318" s="195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</row>
    <row r="319" spans="17:45" s="54" customFormat="1" x14ac:dyDescent="0.25">
      <c r="Q319" s="195"/>
      <c r="R319" s="195"/>
      <c r="S319" s="195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</row>
    <row r="320" spans="17:45" s="54" customFormat="1" x14ac:dyDescent="0.25">
      <c r="Q320" s="195"/>
      <c r="R320" s="195"/>
      <c r="S320" s="195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</row>
    <row r="321" spans="17:45" s="54" customFormat="1" x14ac:dyDescent="0.25">
      <c r="Q321" s="195"/>
      <c r="R321" s="195"/>
      <c r="S321" s="195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</row>
    <row r="322" spans="17:45" s="54" customFormat="1" x14ac:dyDescent="0.25">
      <c r="Q322" s="195"/>
      <c r="R322" s="195"/>
      <c r="S322" s="195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</row>
    <row r="323" spans="17:45" s="54" customFormat="1" x14ac:dyDescent="0.25">
      <c r="Q323" s="195"/>
      <c r="R323" s="195"/>
      <c r="S323" s="195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</row>
    <row r="324" spans="17:45" s="54" customFormat="1" x14ac:dyDescent="0.25">
      <c r="Q324" s="195"/>
      <c r="R324" s="195"/>
      <c r="S324" s="195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</row>
    <row r="325" spans="17:45" s="54" customFormat="1" x14ac:dyDescent="0.25">
      <c r="Q325" s="195"/>
      <c r="R325" s="195"/>
      <c r="S325" s="195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</row>
    <row r="326" spans="17:45" s="54" customFormat="1" x14ac:dyDescent="0.25">
      <c r="Q326" s="195"/>
      <c r="R326" s="195"/>
      <c r="S326" s="195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</row>
    <row r="327" spans="17:45" s="54" customFormat="1" x14ac:dyDescent="0.25">
      <c r="Q327" s="195"/>
      <c r="R327" s="195"/>
      <c r="S327" s="195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</row>
    <row r="328" spans="17:45" s="54" customFormat="1" x14ac:dyDescent="0.25">
      <c r="Q328" s="195"/>
      <c r="R328" s="195"/>
      <c r="S328" s="195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</row>
    <row r="329" spans="17:45" s="54" customFormat="1" x14ac:dyDescent="0.25">
      <c r="Q329" s="195"/>
      <c r="R329" s="195"/>
      <c r="S329" s="195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</row>
    <row r="330" spans="17:45" s="54" customFormat="1" x14ac:dyDescent="0.25">
      <c r="Q330" s="195"/>
      <c r="R330" s="195"/>
      <c r="S330" s="195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</row>
    <row r="331" spans="17:45" s="54" customFormat="1" x14ac:dyDescent="0.25">
      <c r="Q331" s="195"/>
      <c r="R331" s="195"/>
      <c r="S331" s="195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</row>
    <row r="332" spans="17:45" s="54" customFormat="1" x14ac:dyDescent="0.25">
      <c r="Q332" s="195"/>
      <c r="R332" s="195"/>
      <c r="S332" s="195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</row>
    <row r="333" spans="17:45" s="54" customFormat="1" x14ac:dyDescent="0.25">
      <c r="Q333" s="195"/>
      <c r="R333" s="195"/>
      <c r="S333" s="195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</row>
    <row r="334" spans="17:45" s="54" customFormat="1" x14ac:dyDescent="0.25">
      <c r="Q334" s="195"/>
      <c r="R334" s="195"/>
      <c r="S334" s="195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</row>
    <row r="335" spans="17:45" s="54" customFormat="1" x14ac:dyDescent="0.25">
      <c r="Q335" s="195"/>
      <c r="R335" s="195"/>
      <c r="S335" s="195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</row>
    <row r="336" spans="17:45" s="54" customFormat="1" x14ac:dyDescent="0.25">
      <c r="Q336" s="195"/>
      <c r="R336" s="195"/>
      <c r="S336" s="195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</row>
    <row r="337" spans="17:45" s="54" customFormat="1" x14ac:dyDescent="0.25">
      <c r="Q337" s="195"/>
      <c r="R337" s="195"/>
      <c r="S337" s="195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</row>
    <row r="338" spans="17:45" s="54" customFormat="1" x14ac:dyDescent="0.25">
      <c r="Q338" s="195"/>
      <c r="R338" s="195"/>
      <c r="S338" s="195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</row>
    <row r="339" spans="17:45" s="54" customFormat="1" x14ac:dyDescent="0.25">
      <c r="Q339" s="195"/>
      <c r="R339" s="195"/>
      <c r="S339" s="195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</row>
    <row r="340" spans="17:45" s="54" customFormat="1" x14ac:dyDescent="0.25">
      <c r="Q340" s="195"/>
      <c r="R340" s="195"/>
      <c r="S340" s="195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</row>
    <row r="341" spans="17:45" s="54" customFormat="1" x14ac:dyDescent="0.25">
      <c r="Q341" s="195"/>
      <c r="R341" s="195"/>
      <c r="S341" s="195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</row>
    <row r="342" spans="17:45" s="54" customFormat="1" x14ac:dyDescent="0.25">
      <c r="Q342" s="195"/>
      <c r="R342" s="195"/>
      <c r="S342" s="195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</row>
    <row r="343" spans="17:45" s="54" customFormat="1" x14ac:dyDescent="0.25">
      <c r="Q343" s="195"/>
      <c r="R343" s="195"/>
      <c r="S343" s="195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</row>
    <row r="344" spans="17:45" s="54" customFormat="1" x14ac:dyDescent="0.25">
      <c r="Q344" s="195"/>
      <c r="R344" s="195"/>
      <c r="S344" s="195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</row>
    <row r="345" spans="17:45" s="54" customFormat="1" x14ac:dyDescent="0.25">
      <c r="Q345" s="195"/>
      <c r="R345" s="195"/>
      <c r="S345" s="195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</row>
    <row r="346" spans="17:45" s="54" customFormat="1" x14ac:dyDescent="0.25">
      <c r="Q346" s="195"/>
      <c r="R346" s="195"/>
      <c r="S346" s="195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</row>
    <row r="347" spans="17:45" s="54" customFormat="1" x14ac:dyDescent="0.25">
      <c r="Q347" s="195"/>
      <c r="R347" s="195"/>
      <c r="S347" s="195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</row>
    <row r="348" spans="17:45" s="54" customFormat="1" x14ac:dyDescent="0.25">
      <c r="Q348" s="195"/>
      <c r="R348" s="195"/>
      <c r="S348" s="195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</row>
    <row r="349" spans="17:45" s="54" customFormat="1" x14ac:dyDescent="0.25">
      <c r="Q349" s="195"/>
      <c r="R349" s="195"/>
      <c r="S349" s="195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</row>
    <row r="350" spans="17:45" s="54" customFormat="1" x14ac:dyDescent="0.25">
      <c r="Q350" s="195"/>
      <c r="R350" s="195"/>
      <c r="S350" s="195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</row>
    <row r="351" spans="17:45" s="54" customFormat="1" x14ac:dyDescent="0.25">
      <c r="Q351" s="195"/>
      <c r="R351" s="195"/>
      <c r="S351" s="195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</row>
    <row r="352" spans="17:45" s="54" customFormat="1" x14ac:dyDescent="0.25">
      <c r="Q352" s="195"/>
      <c r="R352" s="195"/>
      <c r="S352" s="195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</row>
    <row r="353" spans="17:45" s="54" customFormat="1" x14ac:dyDescent="0.25">
      <c r="Q353" s="195"/>
      <c r="R353" s="195"/>
      <c r="S353" s="195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</row>
    <row r="354" spans="17:45" s="54" customFormat="1" x14ac:dyDescent="0.25">
      <c r="Q354" s="195"/>
      <c r="R354" s="195"/>
      <c r="S354" s="195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</row>
    <row r="355" spans="17:45" s="54" customFormat="1" x14ac:dyDescent="0.25">
      <c r="Q355" s="195"/>
      <c r="R355" s="195"/>
      <c r="S355" s="195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</row>
    <row r="356" spans="17:45" s="54" customFormat="1" x14ac:dyDescent="0.25">
      <c r="Q356" s="195"/>
      <c r="R356" s="195"/>
      <c r="S356" s="195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</row>
    <row r="357" spans="17:45" s="54" customFormat="1" x14ac:dyDescent="0.25">
      <c r="Q357" s="195"/>
      <c r="R357" s="195"/>
      <c r="S357" s="195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</row>
    <row r="358" spans="17:45" s="54" customFormat="1" x14ac:dyDescent="0.25">
      <c r="Q358" s="195"/>
      <c r="R358" s="195"/>
      <c r="S358" s="195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</row>
    <row r="359" spans="17:45" s="54" customFormat="1" x14ac:dyDescent="0.25">
      <c r="Q359" s="195"/>
      <c r="R359" s="195"/>
      <c r="S359" s="195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</row>
    <row r="360" spans="17:45" s="54" customFormat="1" x14ac:dyDescent="0.25">
      <c r="Q360" s="195"/>
      <c r="R360" s="195"/>
      <c r="S360" s="195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</row>
    <row r="361" spans="17:45" s="54" customFormat="1" x14ac:dyDescent="0.25">
      <c r="Q361" s="195"/>
      <c r="R361" s="195"/>
      <c r="S361" s="195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</row>
    <row r="362" spans="17:45" s="54" customFormat="1" x14ac:dyDescent="0.25">
      <c r="Q362" s="195"/>
      <c r="R362" s="195"/>
      <c r="S362" s="195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</row>
    <row r="363" spans="17:45" s="54" customFormat="1" x14ac:dyDescent="0.25">
      <c r="Q363" s="195"/>
      <c r="R363" s="195"/>
      <c r="S363" s="195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</row>
    <row r="364" spans="17:45" s="54" customFormat="1" x14ac:dyDescent="0.25">
      <c r="Q364" s="195"/>
      <c r="R364" s="195"/>
      <c r="S364" s="195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</row>
    <row r="365" spans="17:45" s="54" customFormat="1" x14ac:dyDescent="0.25">
      <c r="Q365" s="195"/>
      <c r="R365" s="195"/>
      <c r="S365" s="195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</row>
    <row r="366" spans="17:45" s="54" customFormat="1" x14ac:dyDescent="0.25">
      <c r="Q366" s="195"/>
      <c r="R366" s="195"/>
      <c r="S366" s="195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</row>
    <row r="367" spans="17:45" s="54" customFormat="1" x14ac:dyDescent="0.25">
      <c r="Q367" s="195"/>
      <c r="R367" s="195"/>
      <c r="S367" s="195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</row>
    <row r="368" spans="17:45" s="54" customFormat="1" x14ac:dyDescent="0.25">
      <c r="Q368" s="195"/>
      <c r="R368" s="195"/>
      <c r="S368" s="195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</row>
    <row r="369" spans="17:45" s="54" customFormat="1" x14ac:dyDescent="0.25">
      <c r="Q369" s="195"/>
      <c r="R369" s="195"/>
      <c r="S369" s="195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</row>
    <row r="370" spans="17:45" s="54" customFormat="1" x14ac:dyDescent="0.25">
      <c r="Q370" s="195"/>
      <c r="R370" s="195"/>
      <c r="S370" s="195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</row>
    <row r="371" spans="17:45" s="54" customFormat="1" x14ac:dyDescent="0.25">
      <c r="Q371" s="195"/>
      <c r="R371" s="195"/>
      <c r="S371" s="195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</row>
    <row r="372" spans="17:45" s="54" customFormat="1" x14ac:dyDescent="0.25">
      <c r="Q372" s="195"/>
      <c r="R372" s="195"/>
      <c r="S372" s="195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</row>
    <row r="373" spans="17:45" s="54" customFormat="1" x14ac:dyDescent="0.25">
      <c r="Q373" s="195"/>
      <c r="R373" s="195"/>
      <c r="S373" s="195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</row>
    <row r="374" spans="17:45" s="54" customFormat="1" x14ac:dyDescent="0.25">
      <c r="Q374" s="195"/>
      <c r="R374" s="195"/>
      <c r="S374" s="195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</row>
    <row r="375" spans="17:45" s="54" customFormat="1" x14ac:dyDescent="0.25">
      <c r="Q375" s="195"/>
      <c r="R375" s="195"/>
      <c r="S375" s="195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</row>
    <row r="376" spans="17:45" s="54" customFormat="1" x14ac:dyDescent="0.25">
      <c r="Q376" s="195"/>
      <c r="R376" s="195"/>
      <c r="S376" s="195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</row>
    <row r="377" spans="17:45" s="54" customFormat="1" x14ac:dyDescent="0.25">
      <c r="Q377" s="195"/>
      <c r="R377" s="195"/>
      <c r="S377" s="195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</row>
    <row r="378" spans="17:45" s="54" customFormat="1" x14ac:dyDescent="0.25">
      <c r="Q378" s="195"/>
      <c r="R378" s="195"/>
      <c r="S378" s="195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</row>
    <row r="379" spans="17:45" s="54" customFormat="1" x14ac:dyDescent="0.25">
      <c r="Q379" s="195"/>
      <c r="R379" s="195"/>
      <c r="S379" s="195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</row>
    <row r="380" spans="17:45" s="54" customFormat="1" x14ac:dyDescent="0.25">
      <c r="Q380" s="195"/>
      <c r="R380" s="195"/>
      <c r="S380" s="195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</row>
    <row r="381" spans="17:45" s="54" customFormat="1" x14ac:dyDescent="0.25">
      <c r="Q381" s="195"/>
      <c r="R381" s="195"/>
      <c r="S381" s="195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</row>
    <row r="382" spans="17:45" s="54" customFormat="1" x14ac:dyDescent="0.25">
      <c r="Q382" s="195"/>
      <c r="R382" s="195"/>
      <c r="S382" s="195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</row>
    <row r="383" spans="17:45" s="54" customFormat="1" x14ac:dyDescent="0.25">
      <c r="Q383" s="195"/>
      <c r="R383" s="195"/>
      <c r="S383" s="195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</row>
    <row r="384" spans="17:45" s="54" customFormat="1" x14ac:dyDescent="0.25">
      <c r="Q384" s="195"/>
      <c r="R384" s="195"/>
      <c r="S384" s="195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</row>
    <row r="385" spans="17:45" s="54" customFormat="1" x14ac:dyDescent="0.25">
      <c r="Q385" s="195"/>
      <c r="R385" s="195"/>
      <c r="S385" s="195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</row>
    <row r="386" spans="17:45" s="54" customFormat="1" x14ac:dyDescent="0.25">
      <c r="Q386" s="195"/>
      <c r="R386" s="195"/>
      <c r="S386" s="195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</row>
    <row r="387" spans="17:45" s="54" customFormat="1" x14ac:dyDescent="0.25">
      <c r="Q387" s="195"/>
      <c r="R387" s="195"/>
      <c r="S387" s="195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</row>
    <row r="388" spans="17:45" s="54" customFormat="1" x14ac:dyDescent="0.25">
      <c r="Q388" s="195"/>
      <c r="R388" s="195"/>
      <c r="S388" s="195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</row>
    <row r="389" spans="17:45" s="54" customFormat="1" x14ac:dyDescent="0.25">
      <c r="Q389" s="195"/>
      <c r="R389" s="195"/>
      <c r="S389" s="195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</row>
    <row r="390" spans="17:45" s="54" customFormat="1" x14ac:dyDescent="0.25">
      <c r="Q390" s="195"/>
      <c r="R390" s="195"/>
      <c r="S390" s="195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</row>
    <row r="391" spans="17:45" s="54" customFormat="1" x14ac:dyDescent="0.25">
      <c r="Q391" s="195"/>
      <c r="R391" s="195"/>
      <c r="S391" s="195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</row>
    <row r="392" spans="17:45" s="54" customFormat="1" x14ac:dyDescent="0.25">
      <c r="Q392" s="195"/>
      <c r="R392" s="195"/>
      <c r="S392" s="195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</row>
    <row r="393" spans="17:45" s="54" customFormat="1" x14ac:dyDescent="0.25">
      <c r="Q393" s="195"/>
      <c r="R393" s="195"/>
      <c r="S393" s="195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</row>
    <row r="394" spans="17:45" s="54" customFormat="1" x14ac:dyDescent="0.25">
      <c r="Q394" s="195"/>
      <c r="R394" s="195"/>
      <c r="S394" s="195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</row>
    <row r="395" spans="17:45" s="54" customFormat="1" x14ac:dyDescent="0.25">
      <c r="Q395" s="195"/>
      <c r="R395" s="195"/>
      <c r="S395" s="195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</row>
    <row r="396" spans="17:45" s="54" customFormat="1" x14ac:dyDescent="0.25">
      <c r="Q396" s="195"/>
      <c r="R396" s="195"/>
      <c r="S396" s="195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</row>
    <row r="397" spans="17:45" s="54" customFormat="1" x14ac:dyDescent="0.25">
      <c r="Q397" s="195"/>
      <c r="R397" s="195"/>
      <c r="S397" s="195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</row>
    <row r="398" spans="17:45" s="54" customFormat="1" x14ac:dyDescent="0.25">
      <c r="Q398" s="195"/>
      <c r="R398" s="195"/>
      <c r="S398" s="195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</row>
    <row r="399" spans="17:45" s="54" customFormat="1" x14ac:dyDescent="0.25">
      <c r="Q399" s="195"/>
      <c r="R399" s="195"/>
      <c r="S399" s="195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</row>
    <row r="400" spans="17:45" s="54" customFormat="1" x14ac:dyDescent="0.25">
      <c r="Q400" s="195"/>
      <c r="R400" s="195"/>
      <c r="S400" s="195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</row>
    <row r="401" spans="17:45" s="54" customFormat="1" x14ac:dyDescent="0.25">
      <c r="Q401" s="195"/>
      <c r="R401" s="195"/>
      <c r="S401" s="195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</row>
    <row r="402" spans="17:45" s="54" customFormat="1" x14ac:dyDescent="0.25">
      <c r="Q402" s="195"/>
      <c r="R402" s="195"/>
      <c r="S402" s="195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</row>
    <row r="403" spans="17:45" s="54" customFormat="1" x14ac:dyDescent="0.25">
      <c r="Q403" s="195"/>
      <c r="R403" s="195"/>
      <c r="S403" s="195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</row>
    <row r="404" spans="17:45" s="54" customFormat="1" x14ac:dyDescent="0.25">
      <c r="Q404" s="195"/>
      <c r="R404" s="195"/>
      <c r="S404" s="195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</row>
    <row r="405" spans="17:45" s="54" customFormat="1" x14ac:dyDescent="0.25">
      <c r="Q405" s="195"/>
      <c r="R405" s="195"/>
      <c r="S405" s="195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</row>
    <row r="406" spans="17:45" s="54" customFormat="1" x14ac:dyDescent="0.25">
      <c r="Q406" s="195"/>
      <c r="R406" s="195"/>
      <c r="S406" s="195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</row>
    <row r="407" spans="17:45" s="54" customFormat="1" x14ac:dyDescent="0.25">
      <c r="Q407" s="195"/>
      <c r="R407" s="195"/>
      <c r="S407" s="195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</row>
    <row r="408" spans="17:45" s="54" customFormat="1" x14ac:dyDescent="0.25">
      <c r="Q408" s="195"/>
      <c r="R408" s="195"/>
      <c r="S408" s="195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</row>
    <row r="409" spans="17:45" s="54" customFormat="1" x14ac:dyDescent="0.25">
      <c r="Q409" s="195"/>
      <c r="R409" s="195"/>
      <c r="S409" s="195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</row>
    <row r="410" spans="17:45" s="54" customFormat="1" x14ac:dyDescent="0.25">
      <c r="Q410" s="195"/>
      <c r="R410" s="195"/>
      <c r="S410" s="195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</row>
    <row r="411" spans="17:45" s="54" customFormat="1" x14ac:dyDescent="0.25">
      <c r="Q411" s="195"/>
      <c r="R411" s="195"/>
      <c r="S411" s="195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</row>
    <row r="412" spans="17:45" s="54" customFormat="1" x14ac:dyDescent="0.25">
      <c r="Q412" s="195"/>
      <c r="R412" s="195"/>
      <c r="S412" s="195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</row>
    <row r="413" spans="17:45" s="54" customFormat="1" x14ac:dyDescent="0.25">
      <c r="Q413" s="195"/>
      <c r="R413" s="195"/>
      <c r="S413" s="195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</row>
    <row r="414" spans="17:45" s="54" customFormat="1" x14ac:dyDescent="0.25">
      <c r="Q414" s="195"/>
      <c r="R414" s="195"/>
      <c r="S414" s="195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</row>
    <row r="415" spans="17:45" s="54" customFormat="1" x14ac:dyDescent="0.25">
      <c r="Q415" s="195"/>
      <c r="R415" s="195"/>
      <c r="S415" s="195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</row>
    <row r="416" spans="17:45" s="54" customFormat="1" x14ac:dyDescent="0.25">
      <c r="Q416" s="195"/>
      <c r="R416" s="195"/>
      <c r="S416" s="195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</row>
    <row r="417" spans="17:45" s="54" customFormat="1" x14ac:dyDescent="0.25">
      <c r="Q417" s="195"/>
      <c r="R417" s="195"/>
      <c r="S417" s="195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</row>
    <row r="418" spans="17:45" s="54" customFormat="1" x14ac:dyDescent="0.25">
      <c r="Q418" s="195"/>
      <c r="R418" s="195"/>
      <c r="S418" s="195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</row>
    <row r="419" spans="17:45" s="54" customFormat="1" x14ac:dyDescent="0.25">
      <c r="Q419" s="195"/>
      <c r="R419" s="195"/>
      <c r="S419" s="195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</row>
    <row r="420" spans="17:45" s="54" customFormat="1" x14ac:dyDescent="0.25">
      <c r="Q420" s="195"/>
      <c r="R420" s="195"/>
      <c r="S420" s="195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</row>
    <row r="421" spans="17:45" s="54" customFormat="1" x14ac:dyDescent="0.25">
      <c r="Q421" s="195"/>
      <c r="R421" s="195"/>
      <c r="S421" s="195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</row>
    <row r="422" spans="17:45" s="54" customFormat="1" x14ac:dyDescent="0.25">
      <c r="Q422" s="195"/>
      <c r="R422" s="195"/>
      <c r="S422" s="195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</row>
    <row r="423" spans="17:45" s="54" customFormat="1" x14ac:dyDescent="0.25">
      <c r="Q423" s="195"/>
      <c r="R423" s="195"/>
      <c r="S423" s="195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</row>
    <row r="424" spans="17:45" s="54" customFormat="1" x14ac:dyDescent="0.25">
      <c r="Q424" s="195"/>
      <c r="R424" s="195"/>
      <c r="S424" s="195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</row>
    <row r="425" spans="17:45" s="54" customFormat="1" x14ac:dyDescent="0.25">
      <c r="Q425" s="195"/>
      <c r="R425" s="195"/>
      <c r="S425" s="195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</row>
    <row r="426" spans="17:45" s="54" customFormat="1" x14ac:dyDescent="0.25">
      <c r="Q426" s="195"/>
      <c r="R426" s="195"/>
      <c r="S426" s="195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</row>
    <row r="427" spans="17:45" s="54" customFormat="1" x14ac:dyDescent="0.25">
      <c r="Q427" s="195"/>
      <c r="R427" s="195"/>
      <c r="S427" s="195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</row>
    <row r="428" spans="17:45" s="54" customFormat="1" x14ac:dyDescent="0.25">
      <c r="Q428" s="195"/>
      <c r="R428" s="195"/>
      <c r="S428" s="195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</row>
    <row r="429" spans="17:45" s="54" customFormat="1" x14ac:dyDescent="0.25">
      <c r="Q429" s="195"/>
      <c r="R429" s="195"/>
      <c r="S429" s="195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</row>
    <row r="430" spans="17:45" s="54" customFormat="1" x14ac:dyDescent="0.25">
      <c r="Q430" s="195"/>
      <c r="R430" s="195"/>
      <c r="S430" s="195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</row>
    <row r="431" spans="17:45" s="54" customFormat="1" x14ac:dyDescent="0.25">
      <c r="Q431" s="195"/>
      <c r="R431" s="195"/>
      <c r="S431" s="195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</row>
    <row r="432" spans="17:45" s="54" customFormat="1" x14ac:dyDescent="0.25">
      <c r="Q432" s="195"/>
      <c r="R432" s="195"/>
      <c r="S432" s="195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</row>
    <row r="433" spans="17:45" s="54" customFormat="1" x14ac:dyDescent="0.25">
      <c r="Q433" s="195"/>
      <c r="R433" s="195"/>
      <c r="S433" s="195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</row>
    <row r="434" spans="17:45" s="54" customFormat="1" x14ac:dyDescent="0.25">
      <c r="Q434" s="195"/>
      <c r="R434" s="195"/>
      <c r="S434" s="195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</row>
    <row r="435" spans="17:45" s="54" customFormat="1" x14ac:dyDescent="0.25">
      <c r="Q435" s="195"/>
      <c r="R435" s="195"/>
      <c r="S435" s="195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</row>
    <row r="436" spans="17:45" s="54" customFormat="1" x14ac:dyDescent="0.25">
      <c r="Q436" s="195"/>
      <c r="R436" s="195"/>
      <c r="S436" s="195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</row>
    <row r="437" spans="17:45" s="54" customFormat="1" x14ac:dyDescent="0.25">
      <c r="Q437" s="195"/>
      <c r="R437" s="195"/>
      <c r="S437" s="195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</row>
    <row r="438" spans="17:45" s="54" customFormat="1" x14ac:dyDescent="0.25">
      <c r="Q438" s="195"/>
      <c r="R438" s="195"/>
      <c r="S438" s="195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</row>
    <row r="439" spans="17:45" s="54" customFormat="1" x14ac:dyDescent="0.25">
      <c r="Q439" s="195"/>
      <c r="R439" s="195"/>
      <c r="S439" s="195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</row>
    <row r="440" spans="17:45" s="54" customFormat="1" x14ac:dyDescent="0.25">
      <c r="Q440" s="195"/>
      <c r="R440" s="195"/>
      <c r="S440" s="195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</row>
    <row r="441" spans="17:45" s="54" customFormat="1" x14ac:dyDescent="0.25">
      <c r="Q441" s="195"/>
      <c r="R441" s="195"/>
      <c r="S441" s="195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</row>
    <row r="442" spans="17:45" s="54" customFormat="1" x14ac:dyDescent="0.25">
      <c r="Q442" s="195"/>
      <c r="R442" s="195"/>
      <c r="S442" s="195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</row>
    <row r="443" spans="17:45" s="54" customFormat="1" x14ac:dyDescent="0.25">
      <c r="Q443" s="195"/>
      <c r="R443" s="195"/>
      <c r="S443" s="195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</row>
    <row r="444" spans="17:45" s="54" customFormat="1" x14ac:dyDescent="0.25">
      <c r="Q444" s="195"/>
      <c r="R444" s="195"/>
      <c r="S444" s="195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</row>
    <row r="445" spans="17:45" s="54" customFormat="1" x14ac:dyDescent="0.25">
      <c r="Q445" s="195"/>
      <c r="R445" s="195"/>
      <c r="S445" s="195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</row>
    <row r="446" spans="17:45" s="54" customFormat="1" x14ac:dyDescent="0.25">
      <c r="Q446" s="195"/>
      <c r="R446" s="195"/>
      <c r="S446" s="195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</row>
    <row r="447" spans="17:45" s="54" customFormat="1" x14ac:dyDescent="0.25">
      <c r="Q447" s="195"/>
      <c r="R447" s="195"/>
      <c r="S447" s="195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</row>
    <row r="448" spans="17:45" s="54" customFormat="1" x14ac:dyDescent="0.25">
      <c r="Q448" s="195"/>
      <c r="R448" s="195"/>
      <c r="S448" s="195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</row>
    <row r="449" spans="17:45" s="54" customFormat="1" x14ac:dyDescent="0.25">
      <c r="Q449" s="195"/>
      <c r="R449" s="195"/>
      <c r="S449" s="195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</row>
    <row r="450" spans="17:45" s="54" customFormat="1" x14ac:dyDescent="0.25">
      <c r="Q450" s="195"/>
      <c r="R450" s="195"/>
      <c r="S450" s="195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</row>
    <row r="451" spans="17:45" s="54" customFormat="1" x14ac:dyDescent="0.25">
      <c r="Q451" s="195"/>
      <c r="R451" s="195"/>
      <c r="S451" s="195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</row>
    <row r="452" spans="17:45" s="54" customFormat="1" x14ac:dyDescent="0.25">
      <c r="Q452" s="195"/>
      <c r="R452" s="195"/>
      <c r="S452" s="195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</row>
    <row r="453" spans="17:45" s="54" customFormat="1" x14ac:dyDescent="0.25">
      <c r="Q453" s="195"/>
      <c r="R453" s="195"/>
      <c r="S453" s="195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</row>
    <row r="454" spans="17:45" s="54" customFormat="1" x14ac:dyDescent="0.25">
      <c r="Q454" s="195"/>
      <c r="R454" s="195"/>
      <c r="S454" s="195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</row>
    <row r="455" spans="17:45" s="54" customFormat="1" x14ac:dyDescent="0.25">
      <c r="Q455" s="195"/>
      <c r="R455" s="195"/>
      <c r="S455" s="195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</row>
    <row r="456" spans="17:45" s="54" customFormat="1" x14ac:dyDescent="0.25">
      <c r="Q456" s="195"/>
      <c r="R456" s="195"/>
      <c r="S456" s="195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</row>
    <row r="457" spans="17:45" s="54" customFormat="1" x14ac:dyDescent="0.25">
      <c r="Q457" s="195"/>
      <c r="R457" s="195"/>
      <c r="S457" s="195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</row>
    <row r="458" spans="17:45" s="54" customFormat="1" x14ac:dyDescent="0.25">
      <c r="Q458" s="195"/>
      <c r="R458" s="195"/>
      <c r="S458" s="195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  <c r="AQ458" s="90"/>
      <c r="AR458" s="90"/>
      <c r="AS458" s="90"/>
    </row>
    <row r="459" spans="17:45" s="54" customFormat="1" x14ac:dyDescent="0.25">
      <c r="Q459" s="195"/>
      <c r="R459" s="195"/>
      <c r="S459" s="195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</row>
    <row r="460" spans="17:45" s="54" customFormat="1" x14ac:dyDescent="0.25">
      <c r="Q460" s="195"/>
      <c r="R460" s="195"/>
      <c r="S460" s="195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  <c r="AQ460" s="90"/>
      <c r="AR460" s="90"/>
      <c r="AS460" s="90"/>
    </row>
    <row r="461" spans="17:45" s="54" customFormat="1" x14ac:dyDescent="0.25">
      <c r="Q461" s="195"/>
      <c r="R461" s="195"/>
      <c r="S461" s="195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</row>
    <row r="462" spans="17:45" s="54" customFormat="1" x14ac:dyDescent="0.25">
      <c r="Q462" s="195"/>
      <c r="R462" s="195"/>
      <c r="S462" s="195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  <c r="AQ462" s="90"/>
      <c r="AR462" s="90"/>
      <c r="AS462" s="90"/>
    </row>
    <row r="463" spans="17:45" s="54" customFormat="1" x14ac:dyDescent="0.25">
      <c r="Q463" s="195"/>
      <c r="R463" s="195"/>
      <c r="S463" s="195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</row>
    <row r="464" spans="17:45" s="54" customFormat="1" x14ac:dyDescent="0.25">
      <c r="Q464" s="195"/>
      <c r="R464" s="195"/>
      <c r="S464" s="195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90"/>
      <c r="AQ464" s="90"/>
      <c r="AR464" s="90"/>
      <c r="AS464" s="90"/>
    </row>
    <row r="465" spans="17:45" s="54" customFormat="1" x14ac:dyDescent="0.25">
      <c r="Q465" s="195"/>
      <c r="R465" s="195"/>
      <c r="S465" s="195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  <c r="AQ465" s="90"/>
      <c r="AR465" s="90"/>
      <c r="AS465" s="90"/>
    </row>
    <row r="466" spans="17:45" s="54" customFormat="1" x14ac:dyDescent="0.25">
      <c r="Q466" s="195"/>
      <c r="R466" s="195"/>
      <c r="S466" s="195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  <c r="AL466" s="90"/>
      <c r="AM466" s="90"/>
      <c r="AN466" s="90"/>
      <c r="AO466" s="90"/>
      <c r="AP466" s="90"/>
      <c r="AQ466" s="90"/>
      <c r="AR466" s="90"/>
      <c r="AS466" s="90"/>
    </row>
    <row r="467" spans="17:45" s="54" customFormat="1" x14ac:dyDescent="0.25">
      <c r="Q467" s="195"/>
      <c r="R467" s="195"/>
      <c r="S467" s="195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  <c r="AP467" s="90"/>
      <c r="AQ467" s="90"/>
      <c r="AR467" s="90"/>
      <c r="AS467" s="90"/>
    </row>
    <row r="468" spans="17:45" s="54" customFormat="1" x14ac:dyDescent="0.25">
      <c r="Q468" s="195"/>
      <c r="R468" s="195"/>
      <c r="S468" s="195"/>
      <c r="T468" s="90"/>
      <c r="U468" s="90"/>
      <c r="V468" s="90"/>
      <c r="W468" s="90"/>
      <c r="X468" s="90"/>
      <c r="Y468" s="90"/>
      <c r="Z468" s="90"/>
      <c r="AA468" s="90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  <c r="AL468" s="90"/>
      <c r="AM468" s="90"/>
      <c r="AN468" s="90"/>
      <c r="AO468" s="90"/>
      <c r="AP468" s="90"/>
      <c r="AQ468" s="90"/>
      <c r="AR468" s="90"/>
      <c r="AS468" s="90"/>
    </row>
    <row r="469" spans="17:45" s="54" customFormat="1" x14ac:dyDescent="0.25">
      <c r="Q469" s="195"/>
      <c r="R469" s="195"/>
      <c r="S469" s="195"/>
      <c r="T469" s="90"/>
      <c r="U469" s="90"/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  <c r="AP469" s="90"/>
      <c r="AQ469" s="90"/>
      <c r="AR469" s="90"/>
      <c r="AS469" s="90"/>
    </row>
    <row r="470" spans="17:45" s="54" customFormat="1" x14ac:dyDescent="0.25">
      <c r="Q470" s="195"/>
      <c r="R470" s="195"/>
      <c r="S470" s="195"/>
      <c r="T470" s="90"/>
      <c r="U470" s="90"/>
      <c r="V470" s="90"/>
      <c r="W470" s="90"/>
      <c r="X470" s="90"/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  <c r="AL470" s="90"/>
      <c r="AM470" s="90"/>
      <c r="AN470" s="90"/>
      <c r="AO470" s="90"/>
      <c r="AP470" s="90"/>
      <c r="AQ470" s="90"/>
      <c r="AR470" s="90"/>
      <c r="AS470" s="90"/>
    </row>
    <row r="471" spans="17:45" s="54" customFormat="1" x14ac:dyDescent="0.25">
      <c r="Q471" s="195"/>
      <c r="R471" s="195"/>
      <c r="S471" s="195"/>
      <c r="T471" s="90"/>
      <c r="U471" s="90"/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  <c r="AP471" s="90"/>
      <c r="AQ471" s="90"/>
      <c r="AR471" s="90"/>
      <c r="AS471" s="90"/>
    </row>
    <row r="472" spans="17:45" s="54" customFormat="1" x14ac:dyDescent="0.25">
      <c r="Q472" s="195"/>
      <c r="R472" s="195"/>
      <c r="S472" s="195"/>
      <c r="T472" s="90"/>
      <c r="U472" s="90"/>
      <c r="V472" s="90"/>
      <c r="W472" s="90"/>
      <c r="X472" s="90"/>
      <c r="Y472" s="90"/>
      <c r="Z472" s="90"/>
      <c r="AA472" s="90"/>
      <c r="AB472" s="90"/>
      <c r="AC472" s="90"/>
      <c r="AD472" s="90"/>
      <c r="AE472" s="90"/>
      <c r="AF472" s="90"/>
      <c r="AG472" s="90"/>
      <c r="AH472" s="90"/>
      <c r="AI472" s="90"/>
      <c r="AJ472" s="90"/>
      <c r="AK472" s="90"/>
      <c r="AL472" s="90"/>
      <c r="AM472" s="90"/>
      <c r="AN472" s="90"/>
      <c r="AO472" s="90"/>
      <c r="AP472" s="90"/>
      <c r="AQ472" s="90"/>
      <c r="AR472" s="90"/>
      <c r="AS472" s="90"/>
    </row>
    <row r="473" spans="17:45" s="54" customFormat="1" x14ac:dyDescent="0.25">
      <c r="Q473" s="195"/>
      <c r="R473" s="195"/>
      <c r="S473" s="195"/>
      <c r="T473" s="90"/>
      <c r="U473" s="90"/>
      <c r="V473" s="90"/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  <c r="AO473" s="90"/>
      <c r="AP473" s="90"/>
      <c r="AQ473" s="90"/>
      <c r="AR473" s="90"/>
      <c r="AS473" s="90"/>
    </row>
    <row r="474" spans="17:45" s="54" customFormat="1" x14ac:dyDescent="0.25">
      <c r="Q474" s="195"/>
      <c r="R474" s="195"/>
      <c r="S474" s="195"/>
      <c r="T474" s="90"/>
      <c r="U474" s="90"/>
      <c r="V474" s="90"/>
      <c r="W474" s="90"/>
      <c r="X474" s="90"/>
      <c r="Y474" s="90"/>
      <c r="Z474" s="90"/>
      <c r="AA474" s="90"/>
      <c r="AB474" s="90"/>
      <c r="AC474" s="90"/>
      <c r="AD474" s="90"/>
      <c r="AE474" s="90"/>
      <c r="AF474" s="90"/>
      <c r="AG474" s="90"/>
      <c r="AH474" s="90"/>
      <c r="AI474" s="90"/>
      <c r="AJ474" s="90"/>
      <c r="AK474" s="90"/>
      <c r="AL474" s="90"/>
      <c r="AM474" s="90"/>
      <c r="AN474" s="90"/>
      <c r="AO474" s="90"/>
      <c r="AP474" s="90"/>
      <c r="AQ474" s="90"/>
      <c r="AR474" s="90"/>
      <c r="AS474" s="90"/>
    </row>
    <row r="475" spans="17:45" s="54" customFormat="1" x14ac:dyDescent="0.25">
      <c r="Q475" s="195"/>
      <c r="R475" s="195"/>
      <c r="S475" s="195"/>
      <c r="T475" s="90"/>
      <c r="U475" s="90"/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  <c r="AP475" s="90"/>
      <c r="AQ475" s="90"/>
      <c r="AR475" s="90"/>
      <c r="AS475" s="90"/>
    </row>
    <row r="476" spans="17:45" s="54" customFormat="1" x14ac:dyDescent="0.25">
      <c r="Q476" s="195"/>
      <c r="R476" s="195"/>
      <c r="S476" s="195"/>
      <c r="T476" s="90"/>
      <c r="U476" s="90"/>
      <c r="V476" s="90"/>
      <c r="W476" s="90"/>
      <c r="X476" s="90"/>
      <c r="Y476" s="90"/>
      <c r="Z476" s="90"/>
      <c r="AA476" s="90"/>
      <c r="AB476" s="90"/>
      <c r="AC476" s="90"/>
      <c r="AD476" s="90"/>
      <c r="AE476" s="90"/>
      <c r="AF476" s="90"/>
      <c r="AG476" s="90"/>
      <c r="AH476" s="90"/>
      <c r="AI476" s="90"/>
      <c r="AJ476" s="90"/>
      <c r="AK476" s="90"/>
      <c r="AL476" s="90"/>
      <c r="AM476" s="90"/>
      <c r="AN476" s="90"/>
      <c r="AO476" s="90"/>
      <c r="AP476" s="90"/>
      <c r="AQ476" s="90"/>
      <c r="AR476" s="90"/>
      <c r="AS476" s="90"/>
    </row>
    <row r="477" spans="17:45" s="54" customFormat="1" x14ac:dyDescent="0.25">
      <c r="Q477" s="195"/>
      <c r="R477" s="195"/>
      <c r="S477" s="195"/>
      <c r="T477" s="90"/>
      <c r="U477" s="90"/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  <c r="AP477" s="90"/>
      <c r="AQ477" s="90"/>
      <c r="AR477" s="90"/>
      <c r="AS477" s="90"/>
    </row>
    <row r="478" spans="17:45" s="54" customFormat="1" x14ac:dyDescent="0.25">
      <c r="Q478" s="195"/>
      <c r="R478" s="195"/>
      <c r="S478" s="195"/>
      <c r="T478" s="90"/>
      <c r="U478" s="90"/>
      <c r="V478" s="90"/>
      <c r="W478" s="90"/>
      <c r="X478" s="90"/>
      <c r="Y478" s="90"/>
      <c r="Z478" s="90"/>
      <c r="AA478" s="90"/>
      <c r="AB478" s="90"/>
      <c r="AC478" s="90"/>
      <c r="AD478" s="90"/>
      <c r="AE478" s="90"/>
      <c r="AF478" s="90"/>
      <c r="AG478" s="90"/>
      <c r="AH478" s="90"/>
      <c r="AI478" s="90"/>
      <c r="AJ478" s="90"/>
      <c r="AK478" s="90"/>
      <c r="AL478" s="90"/>
      <c r="AM478" s="90"/>
      <c r="AN478" s="90"/>
      <c r="AO478" s="90"/>
      <c r="AP478" s="90"/>
      <c r="AQ478" s="90"/>
      <c r="AR478" s="90"/>
      <c r="AS478" s="90"/>
    </row>
    <row r="479" spans="17:45" s="54" customFormat="1" x14ac:dyDescent="0.25">
      <c r="Q479" s="195"/>
      <c r="R479" s="195"/>
      <c r="S479" s="195"/>
      <c r="T479" s="90"/>
      <c r="U479" s="90"/>
      <c r="V479" s="90"/>
      <c r="W479" s="90"/>
      <c r="X479" s="90"/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  <c r="AL479" s="90"/>
      <c r="AM479" s="90"/>
      <c r="AN479" s="90"/>
      <c r="AO479" s="90"/>
      <c r="AP479" s="90"/>
      <c r="AQ479" s="90"/>
      <c r="AR479" s="90"/>
      <c r="AS479" s="90"/>
    </row>
    <row r="480" spans="17:45" s="54" customFormat="1" x14ac:dyDescent="0.25">
      <c r="Q480" s="195"/>
      <c r="R480" s="195"/>
      <c r="S480" s="195"/>
      <c r="T480" s="90"/>
      <c r="U480" s="90"/>
      <c r="V480" s="90"/>
      <c r="W480" s="90"/>
      <c r="X480" s="90"/>
      <c r="Y480" s="90"/>
      <c r="Z480" s="90"/>
      <c r="AA480" s="90"/>
      <c r="AB480" s="90"/>
      <c r="AC480" s="90"/>
      <c r="AD480" s="90"/>
      <c r="AE480" s="90"/>
      <c r="AF480" s="90"/>
      <c r="AG480" s="90"/>
      <c r="AH480" s="90"/>
      <c r="AI480" s="90"/>
      <c r="AJ480" s="90"/>
      <c r="AK480" s="90"/>
      <c r="AL480" s="90"/>
      <c r="AM480" s="90"/>
      <c r="AN480" s="90"/>
      <c r="AO480" s="90"/>
      <c r="AP480" s="90"/>
      <c r="AQ480" s="90"/>
      <c r="AR480" s="90"/>
      <c r="AS480" s="90"/>
    </row>
    <row r="481" spans="17:45" s="54" customFormat="1" x14ac:dyDescent="0.25">
      <c r="Q481" s="195"/>
      <c r="R481" s="195"/>
      <c r="S481" s="195"/>
      <c r="T481" s="90"/>
      <c r="U481" s="90"/>
      <c r="V481" s="90"/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  <c r="AO481" s="90"/>
      <c r="AP481" s="90"/>
      <c r="AQ481" s="90"/>
      <c r="AR481" s="90"/>
      <c r="AS481" s="90"/>
    </row>
    <row r="482" spans="17:45" s="54" customFormat="1" x14ac:dyDescent="0.25">
      <c r="Q482" s="195"/>
      <c r="R482" s="195"/>
      <c r="S482" s="195"/>
      <c r="T482" s="90"/>
      <c r="U482" s="90"/>
      <c r="V482" s="90"/>
      <c r="W482" s="90"/>
      <c r="X482" s="90"/>
      <c r="Y482" s="90"/>
      <c r="Z482" s="90"/>
      <c r="AA482" s="90"/>
      <c r="AB482" s="90"/>
      <c r="AC482" s="90"/>
      <c r="AD482" s="90"/>
      <c r="AE482" s="90"/>
      <c r="AF482" s="90"/>
      <c r="AG482" s="90"/>
      <c r="AH482" s="90"/>
      <c r="AI482" s="90"/>
      <c r="AJ482" s="90"/>
      <c r="AK482" s="90"/>
      <c r="AL482" s="90"/>
      <c r="AM482" s="90"/>
      <c r="AN482" s="90"/>
      <c r="AO482" s="90"/>
      <c r="AP482" s="90"/>
      <c r="AQ482" s="90"/>
      <c r="AR482" s="90"/>
      <c r="AS482" s="90"/>
    </row>
    <row r="483" spans="17:45" s="54" customFormat="1" x14ac:dyDescent="0.25">
      <c r="Q483" s="195"/>
      <c r="R483" s="195"/>
      <c r="S483" s="195"/>
      <c r="T483" s="90"/>
      <c r="U483" s="90"/>
      <c r="V483" s="90"/>
      <c r="W483" s="90"/>
      <c r="X483" s="90"/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  <c r="AL483" s="90"/>
      <c r="AM483" s="90"/>
      <c r="AN483" s="90"/>
      <c r="AO483" s="90"/>
      <c r="AP483" s="90"/>
      <c r="AQ483" s="90"/>
      <c r="AR483" s="90"/>
      <c r="AS483" s="90"/>
    </row>
    <row r="484" spans="17:45" s="54" customFormat="1" x14ac:dyDescent="0.25">
      <c r="Q484" s="195"/>
      <c r="R484" s="195"/>
      <c r="S484" s="195"/>
      <c r="T484" s="90"/>
      <c r="U484" s="90"/>
      <c r="V484" s="90"/>
      <c r="W484" s="90"/>
      <c r="X484" s="90"/>
      <c r="Y484" s="90"/>
      <c r="Z484" s="90"/>
      <c r="AA484" s="90"/>
      <c r="AB484" s="90"/>
      <c r="AC484" s="90"/>
      <c r="AD484" s="90"/>
      <c r="AE484" s="90"/>
      <c r="AF484" s="90"/>
      <c r="AG484" s="90"/>
      <c r="AH484" s="90"/>
      <c r="AI484" s="90"/>
      <c r="AJ484" s="90"/>
      <c r="AK484" s="90"/>
      <c r="AL484" s="90"/>
      <c r="AM484" s="90"/>
      <c r="AN484" s="90"/>
      <c r="AO484" s="90"/>
      <c r="AP484" s="90"/>
      <c r="AQ484" s="90"/>
      <c r="AR484" s="90"/>
      <c r="AS484" s="90"/>
    </row>
    <row r="485" spans="17:45" s="54" customFormat="1" x14ac:dyDescent="0.25">
      <c r="Q485" s="195"/>
      <c r="R485" s="195"/>
      <c r="S485" s="195"/>
      <c r="T485" s="90"/>
      <c r="U485" s="90"/>
      <c r="V485" s="90"/>
      <c r="W485" s="90"/>
      <c r="X485" s="90"/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90"/>
      <c r="AN485" s="90"/>
      <c r="AO485" s="90"/>
      <c r="AP485" s="90"/>
      <c r="AQ485" s="90"/>
      <c r="AR485" s="90"/>
      <c r="AS485" s="90"/>
    </row>
    <row r="486" spans="17:45" s="54" customFormat="1" x14ac:dyDescent="0.25">
      <c r="Q486" s="195"/>
      <c r="R486" s="195"/>
      <c r="S486" s="195"/>
      <c r="T486" s="90"/>
      <c r="U486" s="90"/>
      <c r="V486" s="90"/>
      <c r="W486" s="90"/>
      <c r="X486" s="90"/>
      <c r="Y486" s="90"/>
      <c r="Z486" s="90"/>
      <c r="AA486" s="90"/>
      <c r="AB486" s="90"/>
      <c r="AC486" s="90"/>
      <c r="AD486" s="90"/>
      <c r="AE486" s="90"/>
      <c r="AF486" s="90"/>
      <c r="AG486" s="90"/>
      <c r="AH486" s="90"/>
      <c r="AI486" s="90"/>
      <c r="AJ486" s="90"/>
      <c r="AK486" s="90"/>
      <c r="AL486" s="90"/>
      <c r="AM486" s="90"/>
      <c r="AN486" s="90"/>
      <c r="AO486" s="90"/>
      <c r="AP486" s="90"/>
      <c r="AQ486" s="90"/>
      <c r="AR486" s="90"/>
      <c r="AS486" s="90"/>
    </row>
    <row r="487" spans="17:45" s="54" customFormat="1" x14ac:dyDescent="0.25">
      <c r="Q487" s="195"/>
      <c r="R487" s="195"/>
      <c r="S487" s="195"/>
      <c r="T487" s="90"/>
      <c r="U487" s="90"/>
      <c r="V487" s="90"/>
      <c r="W487" s="90"/>
      <c r="X487" s="90"/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  <c r="AL487" s="90"/>
      <c r="AM487" s="90"/>
      <c r="AN487" s="90"/>
      <c r="AO487" s="90"/>
      <c r="AP487" s="90"/>
      <c r="AQ487" s="90"/>
      <c r="AR487" s="90"/>
      <c r="AS487" s="90"/>
    </row>
    <row r="488" spans="17:45" s="54" customFormat="1" x14ac:dyDescent="0.25">
      <c r="Q488" s="195"/>
      <c r="R488" s="195"/>
      <c r="S488" s="195"/>
      <c r="T488" s="90"/>
      <c r="U488" s="90"/>
      <c r="V488" s="90"/>
      <c r="W488" s="90"/>
      <c r="X488" s="90"/>
      <c r="Y488" s="90"/>
      <c r="Z488" s="90"/>
      <c r="AA488" s="90"/>
      <c r="AB488" s="90"/>
      <c r="AC488" s="90"/>
      <c r="AD488" s="90"/>
      <c r="AE488" s="90"/>
      <c r="AF488" s="90"/>
      <c r="AG488" s="90"/>
      <c r="AH488" s="90"/>
      <c r="AI488" s="90"/>
      <c r="AJ488" s="90"/>
      <c r="AK488" s="90"/>
      <c r="AL488" s="90"/>
      <c r="AM488" s="90"/>
      <c r="AN488" s="90"/>
      <c r="AO488" s="90"/>
      <c r="AP488" s="90"/>
      <c r="AQ488" s="90"/>
      <c r="AR488" s="90"/>
      <c r="AS488" s="90"/>
    </row>
    <row r="489" spans="17:45" s="54" customFormat="1" x14ac:dyDescent="0.25">
      <c r="Q489" s="195"/>
      <c r="R489" s="195"/>
      <c r="S489" s="195"/>
      <c r="T489" s="90"/>
      <c r="U489" s="90"/>
      <c r="V489" s="90"/>
      <c r="W489" s="90"/>
      <c r="X489" s="90"/>
      <c r="Y489" s="90"/>
      <c r="Z489" s="90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  <c r="AM489" s="90"/>
      <c r="AN489" s="90"/>
      <c r="AO489" s="90"/>
      <c r="AP489" s="90"/>
      <c r="AQ489" s="90"/>
      <c r="AR489" s="90"/>
      <c r="AS489" s="90"/>
    </row>
    <row r="490" spans="17:45" s="54" customFormat="1" x14ac:dyDescent="0.25">
      <c r="Q490" s="195"/>
      <c r="R490" s="195"/>
      <c r="S490" s="195"/>
      <c r="T490" s="90"/>
      <c r="U490" s="90"/>
      <c r="V490" s="90"/>
      <c r="W490" s="90"/>
      <c r="X490" s="90"/>
      <c r="Y490" s="90"/>
      <c r="Z490" s="90"/>
      <c r="AA490" s="90"/>
      <c r="AB490" s="90"/>
      <c r="AC490" s="90"/>
      <c r="AD490" s="90"/>
      <c r="AE490" s="90"/>
      <c r="AF490" s="90"/>
      <c r="AG490" s="90"/>
      <c r="AH490" s="90"/>
      <c r="AI490" s="90"/>
      <c r="AJ490" s="90"/>
      <c r="AK490" s="90"/>
      <c r="AL490" s="90"/>
      <c r="AM490" s="90"/>
      <c r="AN490" s="90"/>
      <c r="AO490" s="90"/>
      <c r="AP490" s="90"/>
      <c r="AQ490" s="90"/>
      <c r="AR490" s="90"/>
      <c r="AS490" s="90"/>
    </row>
    <row r="491" spans="17:45" s="54" customFormat="1" x14ac:dyDescent="0.25">
      <c r="Q491" s="195"/>
      <c r="R491" s="195"/>
      <c r="S491" s="195"/>
      <c r="T491" s="90"/>
      <c r="U491" s="90"/>
      <c r="V491" s="90"/>
      <c r="W491" s="90"/>
      <c r="X491" s="90"/>
      <c r="Y491" s="90"/>
      <c r="Z491" s="90"/>
      <c r="AA491" s="90"/>
      <c r="AB491" s="90"/>
      <c r="AC491" s="90"/>
      <c r="AD491" s="90"/>
      <c r="AE491" s="90"/>
      <c r="AF491" s="90"/>
      <c r="AG491" s="90"/>
      <c r="AH491" s="90"/>
      <c r="AI491" s="90"/>
      <c r="AJ491" s="90"/>
      <c r="AK491" s="90"/>
      <c r="AL491" s="90"/>
      <c r="AM491" s="90"/>
      <c r="AN491" s="90"/>
      <c r="AO491" s="90"/>
      <c r="AP491" s="90"/>
      <c r="AQ491" s="90"/>
      <c r="AR491" s="90"/>
      <c r="AS491" s="90"/>
    </row>
    <row r="492" spans="17:45" s="54" customFormat="1" x14ac:dyDescent="0.25">
      <c r="Q492" s="195"/>
      <c r="R492" s="195"/>
      <c r="S492" s="195"/>
      <c r="T492" s="90"/>
      <c r="U492" s="90"/>
      <c r="V492" s="90"/>
      <c r="W492" s="90"/>
      <c r="X492" s="90"/>
      <c r="Y492" s="90"/>
      <c r="Z492" s="90"/>
      <c r="AA492" s="90"/>
      <c r="AB492" s="90"/>
      <c r="AC492" s="90"/>
      <c r="AD492" s="90"/>
      <c r="AE492" s="90"/>
      <c r="AF492" s="90"/>
      <c r="AG492" s="90"/>
      <c r="AH492" s="90"/>
      <c r="AI492" s="90"/>
      <c r="AJ492" s="90"/>
      <c r="AK492" s="90"/>
      <c r="AL492" s="90"/>
      <c r="AM492" s="90"/>
      <c r="AN492" s="90"/>
      <c r="AO492" s="90"/>
      <c r="AP492" s="90"/>
      <c r="AQ492" s="90"/>
      <c r="AR492" s="90"/>
      <c r="AS492" s="90"/>
    </row>
    <row r="493" spans="17:45" s="54" customFormat="1" x14ac:dyDescent="0.25">
      <c r="Q493" s="195"/>
      <c r="R493" s="195"/>
      <c r="S493" s="195"/>
      <c r="T493" s="90"/>
      <c r="U493" s="90"/>
      <c r="V493" s="90"/>
      <c r="W493" s="90"/>
      <c r="X493" s="90"/>
      <c r="Y493" s="90"/>
      <c r="Z493" s="90"/>
      <c r="AA493" s="90"/>
      <c r="AB493" s="90"/>
      <c r="AC493" s="90"/>
      <c r="AD493" s="90"/>
      <c r="AE493" s="90"/>
      <c r="AF493" s="90"/>
      <c r="AG493" s="90"/>
      <c r="AH493" s="90"/>
      <c r="AI493" s="90"/>
      <c r="AJ493" s="90"/>
      <c r="AK493" s="90"/>
      <c r="AL493" s="90"/>
      <c r="AM493" s="90"/>
      <c r="AN493" s="90"/>
      <c r="AO493" s="90"/>
      <c r="AP493" s="90"/>
      <c r="AQ493" s="90"/>
      <c r="AR493" s="90"/>
      <c r="AS493" s="90"/>
    </row>
  </sheetData>
  <autoFilter ref="A14:BN87" xr:uid="{76020F26-998A-4420-8124-FD88A4E0A63D}"/>
  <mergeCells count="15">
    <mergeCell ref="L13:P13"/>
    <mergeCell ref="Q13:S13"/>
    <mergeCell ref="D90:H90"/>
    <mergeCell ref="L90:O90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16">
    <cfRule type="expression" priority="20" stopIfTrue="1">
      <formula>#REF!</formula>
    </cfRule>
  </conditionalFormatting>
  <conditionalFormatting sqref="C19:C35">
    <cfRule type="expression" priority="8" stopIfTrue="1">
      <formula>#REF!</formula>
    </cfRule>
  </conditionalFormatting>
  <conditionalFormatting sqref="C38:C52">
    <cfRule type="expression" priority="4" stopIfTrue="1">
      <formula>#REF!</formula>
    </cfRule>
  </conditionalFormatting>
  <conditionalFormatting sqref="C55:C68">
    <cfRule type="expression" priority="3" stopIfTrue="1">
      <formula>#REF!</formula>
    </cfRule>
  </conditionalFormatting>
  <conditionalFormatting sqref="C71:C86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EA5FD-ED5B-49ED-89B9-339332C3E8C6}">
  <sheetPr>
    <tabColor rgb="FF00B050"/>
    <pageSetUpPr fitToPage="1"/>
  </sheetPr>
  <dimension ref="A1:BQ440"/>
  <sheetViews>
    <sheetView showZeros="0" topLeftCell="A10" zoomScaleNormal="100" workbookViewId="0">
      <selection activeCell="F33" sqref="F15:P33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7" width="8.28515625" style="4" customWidth="1"/>
    <col min="8" max="15" width="10.7109375" style="4" customWidth="1"/>
    <col min="16" max="16" width="13.28515625" style="4" customWidth="1"/>
    <col min="17" max="19" width="5.7109375" style="195" customWidth="1" outlineLevel="1"/>
    <col min="20" max="22" width="10.7109375" style="90" customWidth="1" outlineLevel="1"/>
    <col min="23" max="45" width="10.7109375" style="90" customWidth="1"/>
    <col min="46" max="66" width="8.85546875" style="54"/>
    <col min="67" max="16384" width="8.85546875" style="4"/>
  </cols>
  <sheetData>
    <row r="1" spans="1:69" ht="15" x14ac:dyDescent="0.2">
      <c r="A1" s="408" t="s">
        <v>416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69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69" ht="15" x14ac:dyDescent="0.2">
      <c r="A3" s="409" t="str">
        <f>Kopsavilkums!C24</f>
        <v>Ailu aizpildījumi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4" spans="1:69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</row>
    <row r="5" spans="1:69" x14ac:dyDescent="0.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69" x14ac:dyDescent="0.2">
      <c r="A6" s="1" t="s">
        <v>64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69" x14ac:dyDescent="0.2">
      <c r="A7" s="1" t="s">
        <v>65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69" x14ac:dyDescent="0.2">
      <c r="A8" s="2" t="s">
        <v>66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69" x14ac:dyDescent="0.2">
      <c r="A9" s="1" t="s">
        <v>54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0</v>
      </c>
      <c r="P9" s="18">
        <f>P34</f>
        <v>0</v>
      </c>
    </row>
    <row r="10" spans="1:69" ht="4.9000000000000004" customHeight="1" x14ac:dyDescent="0.2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69" x14ac:dyDescent="0.2">
      <c r="A11" s="107" t="s">
        <v>67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 xml:space="preserve">Tāme sastādīta: </v>
      </c>
    </row>
    <row r="12" spans="1:69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69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</v>
      </c>
      <c r="E13" s="418" t="s">
        <v>5</v>
      </c>
      <c r="F13" s="412" t="s">
        <v>6</v>
      </c>
      <c r="G13" s="420" t="s">
        <v>19</v>
      </c>
      <c r="H13" s="404" t="s">
        <v>7</v>
      </c>
      <c r="I13" s="405"/>
      <c r="J13" s="405"/>
      <c r="K13" s="406"/>
      <c r="L13" s="405" t="s">
        <v>8</v>
      </c>
      <c r="M13" s="405"/>
      <c r="N13" s="405"/>
      <c r="O13" s="405"/>
      <c r="P13" s="406"/>
      <c r="Q13" s="403"/>
      <c r="R13" s="403"/>
      <c r="S13" s="403"/>
    </row>
    <row r="14" spans="1:69" ht="34.9" customHeight="1" thickBot="1" x14ac:dyDescent="0.25">
      <c r="A14" s="413"/>
      <c r="B14" s="415"/>
      <c r="C14" s="415"/>
      <c r="D14" s="417"/>
      <c r="E14" s="419"/>
      <c r="F14" s="413"/>
      <c r="G14" s="421"/>
      <c r="H14" s="56" t="s">
        <v>17</v>
      </c>
      <c r="I14" s="60" t="s">
        <v>16</v>
      </c>
      <c r="J14" s="57" t="s">
        <v>15</v>
      </c>
      <c r="K14" s="58" t="s">
        <v>18</v>
      </c>
      <c r="L14" s="58" t="s">
        <v>9</v>
      </c>
      <c r="M14" s="56" t="s">
        <v>17</v>
      </c>
      <c r="N14" s="60" t="s">
        <v>16</v>
      </c>
      <c r="O14" s="57" t="s">
        <v>15</v>
      </c>
      <c r="P14" s="59" t="s">
        <v>14</v>
      </c>
      <c r="Q14" s="196"/>
      <c r="R14" s="196"/>
      <c r="S14" s="196"/>
    </row>
    <row r="15" spans="1:69" s="220" customFormat="1" x14ac:dyDescent="0.2">
      <c r="A15" s="340"/>
      <c r="B15" s="240"/>
      <c r="C15" s="241" t="str">
        <f>A3</f>
        <v>Ailu aizpildījumi</v>
      </c>
      <c r="D15" s="242"/>
      <c r="E15" s="243"/>
      <c r="F15" s="244"/>
      <c r="G15" s="245"/>
      <c r="H15" s="246"/>
      <c r="I15" s="247"/>
      <c r="J15" s="247"/>
      <c r="K15" s="248"/>
      <c r="L15" s="248"/>
      <c r="M15" s="246"/>
      <c r="N15" s="247"/>
      <c r="O15" s="249"/>
      <c r="P15" s="250"/>
      <c r="Q15" s="195"/>
      <c r="R15" s="195"/>
      <c r="S15" s="195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</row>
    <row r="16" spans="1:69" s="255" customFormat="1" ht="11.25" x14ac:dyDescent="0.15">
      <c r="A16" s="334"/>
      <c r="B16" s="251"/>
      <c r="C16" s="178" t="s">
        <v>387</v>
      </c>
      <c r="D16" s="180"/>
      <c r="E16" s="183"/>
      <c r="F16" s="221"/>
      <c r="G16" s="237"/>
      <c r="H16" s="221"/>
      <c r="I16" s="222"/>
      <c r="J16" s="222"/>
      <c r="K16" s="252"/>
      <c r="L16" s="252"/>
      <c r="M16" s="221"/>
      <c r="N16" s="222"/>
      <c r="O16" s="253"/>
      <c r="P16" s="254"/>
      <c r="Q16" s="195"/>
      <c r="R16" s="195"/>
      <c r="S16" s="195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  <c r="BI16" s="207"/>
      <c r="BJ16" s="207"/>
      <c r="BK16" s="207"/>
      <c r="BL16" s="207"/>
      <c r="BM16" s="207"/>
      <c r="BN16" s="207"/>
      <c r="BO16" s="207"/>
      <c r="BP16" s="207"/>
      <c r="BQ16" s="207"/>
    </row>
    <row r="17" spans="1:69" s="255" customFormat="1" ht="11.25" x14ac:dyDescent="0.15">
      <c r="A17" s="334" t="s">
        <v>34</v>
      </c>
      <c r="B17" s="256"/>
      <c r="C17" s="206" t="s">
        <v>386</v>
      </c>
      <c r="D17" s="180"/>
      <c r="E17" s="181"/>
      <c r="F17" s="221"/>
      <c r="G17" s="237"/>
      <c r="H17" s="221"/>
      <c r="I17" s="222"/>
      <c r="J17" s="222"/>
      <c r="K17" s="252"/>
      <c r="L17" s="252"/>
      <c r="M17" s="221"/>
      <c r="N17" s="222"/>
      <c r="O17" s="253"/>
      <c r="P17" s="254"/>
      <c r="Q17" s="195"/>
      <c r="R17" s="195"/>
      <c r="S17" s="195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  <c r="BI17" s="207"/>
      <c r="BJ17" s="207"/>
      <c r="BK17" s="207"/>
      <c r="BL17" s="207"/>
      <c r="BM17" s="207"/>
      <c r="BN17" s="207"/>
    </row>
    <row r="18" spans="1:69" s="255" customFormat="1" ht="45" x14ac:dyDescent="0.15">
      <c r="A18" s="334"/>
      <c r="B18" s="251"/>
      <c r="C18" s="185" t="s">
        <v>673</v>
      </c>
      <c r="D18" s="180" t="s">
        <v>45</v>
      </c>
      <c r="E18" s="181">
        <v>4</v>
      </c>
      <c r="F18" s="221"/>
      <c r="G18" s="237"/>
      <c r="H18" s="221"/>
      <c r="I18" s="222"/>
      <c r="J18" s="222"/>
      <c r="K18" s="252"/>
      <c r="L18" s="252"/>
      <c r="M18" s="221"/>
      <c r="N18" s="222"/>
      <c r="O18" s="253"/>
      <c r="P18" s="254"/>
      <c r="Q18" s="195"/>
      <c r="R18" s="195"/>
      <c r="S18" s="195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  <c r="BI18" s="207"/>
      <c r="BJ18" s="207"/>
      <c r="BK18" s="207"/>
      <c r="BL18" s="207"/>
      <c r="BM18" s="207"/>
      <c r="BN18" s="207"/>
      <c r="BO18" s="207"/>
      <c r="BP18" s="207"/>
      <c r="BQ18" s="207"/>
    </row>
    <row r="19" spans="1:69" s="184" customFormat="1" ht="11.25" x14ac:dyDescent="0.15">
      <c r="A19" s="334"/>
      <c r="B19" s="182"/>
      <c r="C19" s="178" t="s">
        <v>388</v>
      </c>
      <c r="D19" s="178"/>
      <c r="E19" s="234"/>
      <c r="F19" s="26"/>
      <c r="G19" s="61"/>
      <c r="H19" s="26"/>
      <c r="I19" s="27"/>
      <c r="J19" s="27"/>
      <c r="K19" s="25"/>
      <c r="L19" s="25"/>
      <c r="M19" s="26"/>
      <c r="N19" s="27"/>
      <c r="O19" s="28"/>
      <c r="P19" s="29"/>
      <c r="Q19" s="195"/>
      <c r="R19" s="195"/>
      <c r="S19" s="195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</row>
    <row r="20" spans="1:69" s="184" customFormat="1" ht="11.25" x14ac:dyDescent="0.15">
      <c r="A20" s="334" t="s">
        <v>35</v>
      </c>
      <c r="B20" s="176"/>
      <c r="C20" s="206" t="s">
        <v>389</v>
      </c>
      <c r="D20" s="180"/>
      <c r="E20" s="181"/>
      <c r="F20" s="26"/>
      <c r="G20" s="61"/>
      <c r="H20" s="26"/>
      <c r="I20" s="27"/>
      <c r="J20" s="27"/>
      <c r="K20" s="25"/>
      <c r="L20" s="25"/>
      <c r="M20" s="26"/>
      <c r="N20" s="27"/>
      <c r="O20" s="28"/>
      <c r="P20" s="29"/>
      <c r="Q20" s="195"/>
      <c r="R20" s="195"/>
      <c r="S20" s="195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</row>
    <row r="21" spans="1:69" s="184" customFormat="1" ht="33.75" x14ac:dyDescent="0.15">
      <c r="A21" s="334"/>
      <c r="B21" s="186"/>
      <c r="C21" s="187" t="s">
        <v>672</v>
      </c>
      <c r="D21" s="180" t="s">
        <v>45</v>
      </c>
      <c r="E21" s="181">
        <v>2</v>
      </c>
      <c r="F21" s="26"/>
      <c r="G21" s="61"/>
      <c r="H21" s="26"/>
      <c r="I21" s="27"/>
      <c r="J21" s="27"/>
      <c r="K21" s="25"/>
      <c r="L21" s="25"/>
      <c r="M21" s="26"/>
      <c r="N21" s="27"/>
      <c r="O21" s="28"/>
      <c r="P21" s="29"/>
      <c r="Q21" s="195"/>
      <c r="R21" s="195"/>
      <c r="S21" s="195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</row>
    <row r="22" spans="1:69" s="184" customFormat="1" ht="33.75" x14ac:dyDescent="0.15">
      <c r="A22" s="334"/>
      <c r="B22" s="176"/>
      <c r="C22" s="187" t="s">
        <v>669</v>
      </c>
      <c r="D22" s="180" t="s">
        <v>45</v>
      </c>
      <c r="E22" s="181">
        <v>2</v>
      </c>
      <c r="F22" s="26"/>
      <c r="G22" s="61"/>
      <c r="H22" s="26"/>
      <c r="I22" s="27"/>
      <c r="J22" s="27"/>
      <c r="K22" s="25"/>
      <c r="L22" s="25"/>
      <c r="M22" s="26"/>
      <c r="N22" s="27"/>
      <c r="O22" s="28"/>
      <c r="P22" s="29"/>
      <c r="Q22" s="195"/>
      <c r="R22" s="195"/>
      <c r="S22" s="195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</row>
    <row r="23" spans="1:69" s="184" customFormat="1" ht="33.75" x14ac:dyDescent="0.15">
      <c r="A23" s="334"/>
      <c r="B23" s="186"/>
      <c r="C23" s="187" t="s">
        <v>670</v>
      </c>
      <c r="D23" s="180" t="s">
        <v>45</v>
      </c>
      <c r="E23" s="181">
        <v>3</v>
      </c>
      <c r="F23" s="26"/>
      <c r="G23" s="61"/>
      <c r="H23" s="26"/>
      <c r="I23" s="27"/>
      <c r="J23" s="27"/>
      <c r="K23" s="25"/>
      <c r="L23" s="25"/>
      <c r="M23" s="26"/>
      <c r="N23" s="27"/>
      <c r="O23" s="28"/>
      <c r="P23" s="29"/>
      <c r="Q23" s="195"/>
      <c r="R23" s="195"/>
      <c r="S23" s="195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</row>
    <row r="24" spans="1:69" s="184" customFormat="1" ht="33.75" x14ac:dyDescent="0.15">
      <c r="A24" s="334"/>
      <c r="B24" s="186"/>
      <c r="C24" s="187" t="s">
        <v>671</v>
      </c>
      <c r="D24" s="180" t="s">
        <v>45</v>
      </c>
      <c r="E24" s="181">
        <v>1</v>
      </c>
      <c r="F24" s="26"/>
      <c r="G24" s="61"/>
      <c r="H24" s="26"/>
      <c r="I24" s="27"/>
      <c r="J24" s="27"/>
      <c r="K24" s="25"/>
      <c r="L24" s="25"/>
      <c r="M24" s="26"/>
      <c r="N24" s="27"/>
      <c r="O24" s="28"/>
      <c r="P24" s="29"/>
      <c r="Q24" s="195"/>
      <c r="R24" s="195"/>
      <c r="S24" s="195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</row>
    <row r="25" spans="1:69" s="184" customFormat="1" ht="11.25" x14ac:dyDescent="0.15">
      <c r="A25" s="334"/>
      <c r="B25" s="186"/>
      <c r="C25" s="178" t="s">
        <v>390</v>
      </c>
      <c r="D25" s="178"/>
      <c r="E25" s="234"/>
      <c r="F25" s="26"/>
      <c r="G25" s="61"/>
      <c r="H25" s="26"/>
      <c r="I25" s="27"/>
      <c r="J25" s="27"/>
      <c r="K25" s="25"/>
      <c r="L25" s="25"/>
      <c r="M25" s="26"/>
      <c r="N25" s="27"/>
      <c r="O25" s="28"/>
      <c r="P25" s="29"/>
      <c r="Q25" s="195"/>
      <c r="R25" s="195"/>
      <c r="S25" s="195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</row>
    <row r="26" spans="1:69" s="184" customFormat="1" ht="11.25" x14ac:dyDescent="0.15">
      <c r="A26" s="334" t="s">
        <v>36</v>
      </c>
      <c r="B26" s="182"/>
      <c r="C26" s="206" t="s">
        <v>391</v>
      </c>
      <c r="D26" s="180"/>
      <c r="E26" s="181"/>
      <c r="F26" s="26"/>
      <c r="G26" s="61"/>
      <c r="H26" s="26"/>
      <c r="I26" s="27"/>
      <c r="J26" s="27"/>
      <c r="K26" s="25"/>
      <c r="L26" s="25"/>
      <c r="M26" s="26"/>
      <c r="N26" s="27"/>
      <c r="O26" s="28"/>
      <c r="P26" s="29"/>
      <c r="Q26" s="195"/>
      <c r="R26" s="195"/>
      <c r="S26" s="195"/>
      <c r="T26" s="90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</row>
    <row r="27" spans="1:69" s="184" customFormat="1" ht="33.75" x14ac:dyDescent="0.15">
      <c r="A27" s="334"/>
      <c r="B27" s="176"/>
      <c r="C27" s="185" t="s">
        <v>676</v>
      </c>
      <c r="D27" s="180" t="s">
        <v>45</v>
      </c>
      <c r="E27" s="181">
        <v>1</v>
      </c>
      <c r="F27" s="26"/>
      <c r="G27" s="61"/>
      <c r="H27" s="26"/>
      <c r="I27" s="27"/>
      <c r="J27" s="27"/>
      <c r="K27" s="25"/>
      <c r="L27" s="25"/>
      <c r="M27" s="26"/>
      <c r="N27" s="27"/>
      <c r="O27" s="28"/>
      <c r="P27" s="29"/>
      <c r="Q27" s="195"/>
      <c r="R27" s="195"/>
      <c r="S27" s="195"/>
      <c r="T27" s="90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</row>
    <row r="28" spans="1:69" s="184" customFormat="1" ht="33.75" x14ac:dyDescent="0.15">
      <c r="A28" s="334"/>
      <c r="B28" s="186"/>
      <c r="C28" s="185" t="s">
        <v>675</v>
      </c>
      <c r="D28" s="180" t="s">
        <v>45</v>
      </c>
      <c r="E28" s="181">
        <v>1</v>
      </c>
      <c r="F28" s="26"/>
      <c r="G28" s="61"/>
      <c r="H28" s="26"/>
      <c r="I28" s="27"/>
      <c r="J28" s="27"/>
      <c r="K28" s="25"/>
      <c r="L28" s="25"/>
      <c r="M28" s="26"/>
      <c r="N28" s="27"/>
      <c r="O28" s="28"/>
      <c r="P28" s="29"/>
      <c r="Q28" s="195"/>
      <c r="R28" s="195"/>
      <c r="S28" s="195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</row>
    <row r="29" spans="1:69" s="184" customFormat="1" ht="33.75" x14ac:dyDescent="0.15">
      <c r="A29" s="334"/>
      <c r="B29" s="186"/>
      <c r="C29" s="185" t="s">
        <v>674</v>
      </c>
      <c r="D29" s="180" t="s">
        <v>45</v>
      </c>
      <c r="E29" s="181">
        <v>4</v>
      </c>
      <c r="F29" s="26"/>
      <c r="G29" s="61"/>
      <c r="H29" s="26"/>
      <c r="I29" s="27"/>
      <c r="J29" s="27"/>
      <c r="K29" s="25"/>
      <c r="L29" s="25"/>
      <c r="M29" s="26"/>
      <c r="N29" s="27"/>
      <c r="O29" s="28"/>
      <c r="P29" s="29"/>
      <c r="Q29" s="195"/>
      <c r="R29" s="195"/>
      <c r="S29" s="195"/>
      <c r="T29" s="90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</row>
    <row r="30" spans="1:69" s="230" customFormat="1" ht="11.25" x14ac:dyDescent="0.15">
      <c r="A30" s="225"/>
      <c r="B30" s="257"/>
      <c r="C30" s="178" t="s">
        <v>392</v>
      </c>
      <c r="D30" s="178"/>
      <c r="E30" s="234"/>
      <c r="F30" s="26"/>
      <c r="G30" s="61"/>
      <c r="H30" s="26"/>
      <c r="I30" s="27"/>
      <c r="J30" s="27"/>
      <c r="K30" s="25"/>
      <c r="L30" s="25"/>
      <c r="M30" s="26"/>
      <c r="N30" s="27"/>
      <c r="O30" s="28"/>
      <c r="P30" s="29"/>
      <c r="Q30" s="195"/>
      <c r="R30" s="195"/>
      <c r="S30" s="195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  <c r="AJ30" s="229"/>
      <c r="AK30" s="229"/>
      <c r="AL30" s="229"/>
      <c r="AM30" s="229"/>
      <c r="AN30" s="229"/>
      <c r="AO30" s="229"/>
      <c r="AP30" s="229"/>
      <c r="AQ30" s="229"/>
      <c r="AR30" s="229"/>
      <c r="AS30" s="229"/>
      <c r="AT30" s="229"/>
      <c r="AU30" s="229"/>
      <c r="AV30" s="229"/>
      <c r="AW30" s="229"/>
      <c r="AX30" s="229"/>
      <c r="AY30" s="229"/>
      <c r="AZ30" s="229"/>
      <c r="BA30" s="229"/>
      <c r="BB30" s="229"/>
      <c r="BC30" s="229"/>
      <c r="BD30" s="229"/>
      <c r="BE30" s="229"/>
      <c r="BF30" s="229"/>
      <c r="BG30" s="229"/>
      <c r="BH30" s="229"/>
      <c r="BI30" s="229"/>
      <c r="BJ30" s="229"/>
      <c r="BK30" s="229"/>
      <c r="BL30" s="229"/>
      <c r="BM30" s="229"/>
      <c r="BN30" s="229"/>
      <c r="BO30" s="229"/>
      <c r="BP30" s="229"/>
      <c r="BQ30" s="229"/>
    </row>
    <row r="31" spans="1:69" x14ac:dyDescent="0.2">
      <c r="A31" s="334" t="s">
        <v>37</v>
      </c>
      <c r="B31" s="182"/>
      <c r="C31" s="179" t="s">
        <v>393</v>
      </c>
      <c r="D31" s="180" t="s">
        <v>259</v>
      </c>
      <c r="E31" s="181">
        <v>5.6</v>
      </c>
      <c r="F31" s="26"/>
      <c r="G31" s="61"/>
      <c r="H31" s="26"/>
      <c r="I31" s="27"/>
      <c r="J31" s="27"/>
      <c r="K31" s="25"/>
      <c r="L31" s="25"/>
      <c r="M31" s="26"/>
      <c r="N31" s="27"/>
      <c r="O31" s="28"/>
      <c r="P31" s="29"/>
      <c r="AT31" s="90"/>
      <c r="AU31" s="90"/>
      <c r="AV31" s="90"/>
      <c r="BO31" s="54"/>
      <c r="BP31" s="54"/>
      <c r="BQ31" s="54"/>
    </row>
    <row r="32" spans="1:69" x14ac:dyDescent="0.2">
      <c r="A32" s="334"/>
      <c r="B32" s="186"/>
      <c r="C32" s="185" t="s">
        <v>394</v>
      </c>
      <c r="D32" s="180" t="s">
        <v>259</v>
      </c>
      <c r="E32" s="181">
        <f>E31</f>
        <v>5.6</v>
      </c>
      <c r="F32" s="26"/>
      <c r="G32" s="61"/>
      <c r="H32" s="26"/>
      <c r="I32" s="27"/>
      <c r="J32" s="27"/>
      <c r="K32" s="25"/>
      <c r="L32" s="25"/>
      <c r="M32" s="26"/>
      <c r="N32" s="27"/>
      <c r="O32" s="28"/>
      <c r="P32" s="29"/>
      <c r="AT32" s="90"/>
      <c r="AU32" s="90"/>
      <c r="AV32" s="90"/>
      <c r="BO32" s="54"/>
      <c r="BP32" s="54"/>
      <c r="BQ32" s="54"/>
    </row>
    <row r="33" spans="1:69" ht="23.25" thickBot="1" x14ac:dyDescent="0.25">
      <c r="A33" s="334"/>
      <c r="B33" s="182"/>
      <c r="C33" s="185" t="s">
        <v>395</v>
      </c>
      <c r="D33" s="180" t="s">
        <v>259</v>
      </c>
      <c r="E33" s="181">
        <f>E31</f>
        <v>5.6</v>
      </c>
      <c r="F33" s="26"/>
      <c r="G33" s="61"/>
      <c r="H33" s="26"/>
      <c r="I33" s="27"/>
      <c r="J33" s="27"/>
      <c r="K33" s="25"/>
      <c r="L33" s="25"/>
      <c r="M33" s="26"/>
      <c r="N33" s="27"/>
      <c r="O33" s="28"/>
      <c r="P33" s="29"/>
      <c r="AT33" s="90"/>
      <c r="AU33" s="90"/>
      <c r="AV33" s="90"/>
      <c r="BO33" s="54"/>
      <c r="BP33" s="54"/>
      <c r="BQ33" s="54"/>
    </row>
    <row r="34" spans="1:69" ht="15" customHeight="1" thickBo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2" t="s">
        <v>130</v>
      </c>
      <c r="L34" s="33">
        <f>ROUND(SUM(L15:L33),2)</f>
        <v>0</v>
      </c>
      <c r="M34" s="33">
        <f>ROUND(SUM(M15:M33),2)</f>
        <v>0</v>
      </c>
      <c r="N34" s="34">
        <f>ROUND(SUM(N15:N33),2)</f>
        <v>0</v>
      </c>
      <c r="O34" s="35">
        <f>ROUND(SUM(O15:O33),2)</f>
        <v>0</v>
      </c>
      <c r="P34" s="36">
        <f>ROUND(SUM(P15:P33),2)</f>
        <v>0</v>
      </c>
    </row>
    <row r="35" spans="1:69" ht="34.9" customHeight="1" x14ac:dyDescent="0.2">
      <c r="A35" s="37"/>
      <c r="B35" s="7"/>
      <c r="C35" s="38"/>
      <c r="D35" s="39"/>
      <c r="E35" s="5"/>
      <c r="F35" s="5"/>
      <c r="G35" s="5"/>
      <c r="H35" s="7"/>
      <c r="I35" s="7"/>
      <c r="J35" s="7"/>
      <c r="K35" s="7"/>
      <c r="L35" s="7"/>
      <c r="M35" s="7"/>
      <c r="N35" s="7"/>
      <c r="O35" s="7"/>
      <c r="P35" s="7"/>
    </row>
    <row r="36" spans="1:69" x14ac:dyDescent="0.2">
      <c r="A36" s="40"/>
      <c r="B36" s="41"/>
      <c r="C36" s="41" t="s">
        <v>10</v>
      </c>
      <c r="D36" s="42"/>
      <c r="E36" s="43"/>
      <c r="F36" s="44"/>
      <c r="G36" s="42"/>
      <c r="H36" s="45">
        <f>Kopsavilkums!C$43</f>
        <v>0</v>
      </c>
      <c r="I36" s="46" t="str">
        <f>Kopsavilkums!D$43</f>
        <v>datums</v>
      </c>
      <c r="J36" s="46"/>
      <c r="K36" s="41" t="s">
        <v>11</v>
      </c>
      <c r="L36" s="47"/>
      <c r="M36" s="44"/>
      <c r="N36" s="44"/>
      <c r="O36" s="45">
        <f>Kopsavilkums!C$48</f>
        <v>0</v>
      </c>
      <c r="P36" s="46" t="str">
        <f>Kopsavilkums!D$48</f>
        <v>datums</v>
      </c>
    </row>
    <row r="37" spans="1:69" x14ac:dyDescent="0.2">
      <c r="A37" s="48"/>
      <c r="B37" s="49"/>
      <c r="C37" s="50"/>
      <c r="D37" s="407" t="s">
        <v>12</v>
      </c>
      <c r="E37" s="407"/>
      <c r="F37" s="407"/>
      <c r="G37" s="407"/>
      <c r="H37" s="407"/>
      <c r="I37" s="7"/>
      <c r="J37" s="7"/>
      <c r="K37" s="7"/>
      <c r="L37" s="407" t="s">
        <v>12</v>
      </c>
      <c r="M37" s="407"/>
      <c r="N37" s="407"/>
      <c r="O37" s="407"/>
      <c r="P37" s="7"/>
    </row>
    <row r="38" spans="1:69" s="54" customFormat="1" x14ac:dyDescent="0.2">
      <c r="A38" s="37"/>
      <c r="B38" s="7"/>
      <c r="C38" s="38"/>
      <c r="D38" s="5"/>
      <c r="E38" s="5"/>
      <c r="F38" s="5"/>
      <c r="G38" s="5"/>
      <c r="H38" s="7"/>
      <c r="I38" s="7"/>
      <c r="J38" s="7"/>
      <c r="K38" s="7"/>
      <c r="L38" s="7"/>
      <c r="M38" s="7"/>
      <c r="N38" s="7"/>
      <c r="O38" s="7"/>
      <c r="P38" s="7"/>
      <c r="Q38" s="195"/>
      <c r="R38" s="195"/>
      <c r="S38" s="195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BO38" s="4"/>
      <c r="BP38" s="4"/>
      <c r="BQ38" s="4"/>
    </row>
    <row r="39" spans="1:69" s="54" customFormat="1" x14ac:dyDescent="0.2">
      <c r="A39" s="51"/>
      <c r="B39" s="46"/>
      <c r="C39" s="52"/>
      <c r="D39" s="52" t="str">
        <f>Kopsavilkums!B$46</f>
        <v>-</v>
      </c>
      <c r="E39" s="5"/>
      <c r="F39" s="5"/>
      <c r="G39" s="5"/>
      <c r="H39" s="7"/>
      <c r="I39" s="7"/>
      <c r="J39" s="7"/>
      <c r="K39" s="7"/>
      <c r="L39" s="52" t="str">
        <f>Kopsavilkums!B$51</f>
        <v>Sert.Nr.</v>
      </c>
      <c r="M39" s="53"/>
      <c r="N39" s="7"/>
      <c r="O39" s="7"/>
      <c r="P39" s="7"/>
      <c r="Q39" s="195"/>
      <c r="R39" s="195"/>
      <c r="S39" s="195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BO39" s="4"/>
      <c r="BP39" s="4"/>
      <c r="BQ39" s="4"/>
    </row>
    <row r="40" spans="1:69" s="54" customFormat="1" x14ac:dyDescent="0.25">
      <c r="Q40" s="195"/>
      <c r="R40" s="195"/>
      <c r="S40" s="195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</row>
    <row r="41" spans="1:69" s="54" customFormat="1" x14ac:dyDescent="0.25">
      <c r="Q41" s="195"/>
      <c r="R41" s="195"/>
      <c r="S41" s="195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</row>
    <row r="42" spans="1:69" s="54" customFormat="1" x14ac:dyDescent="0.25">
      <c r="Q42" s="195"/>
      <c r="R42" s="195"/>
      <c r="S42" s="195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</row>
    <row r="43" spans="1:69" s="54" customFormat="1" x14ac:dyDescent="0.25">
      <c r="Q43" s="195"/>
      <c r="R43" s="195"/>
      <c r="S43" s="195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</row>
    <row r="44" spans="1:69" s="54" customFormat="1" x14ac:dyDescent="0.25">
      <c r="Q44" s="195"/>
      <c r="R44" s="195"/>
      <c r="S44" s="195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</row>
    <row r="45" spans="1:69" s="54" customFormat="1" x14ac:dyDescent="0.25">
      <c r="Q45" s="195"/>
      <c r="R45" s="195"/>
      <c r="S45" s="195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</row>
    <row r="46" spans="1:69" s="54" customFormat="1" x14ac:dyDescent="0.25">
      <c r="Q46" s="195"/>
      <c r="R46" s="195"/>
      <c r="S46" s="195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</row>
    <row r="47" spans="1:69" s="54" customFormat="1" x14ac:dyDescent="0.25">
      <c r="Q47" s="195"/>
      <c r="R47" s="195"/>
      <c r="S47" s="195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</row>
    <row r="48" spans="1:69" s="54" customFormat="1" x14ac:dyDescent="0.25">
      <c r="Q48" s="195"/>
      <c r="R48" s="195"/>
      <c r="S48" s="195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</row>
    <row r="49" spans="17:45" s="54" customFormat="1" x14ac:dyDescent="0.25">
      <c r="Q49" s="195"/>
      <c r="R49" s="195"/>
      <c r="S49" s="195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</row>
    <row r="50" spans="17:45" s="54" customFormat="1" x14ac:dyDescent="0.25">
      <c r="Q50" s="195"/>
      <c r="R50" s="195"/>
      <c r="S50" s="195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</row>
    <row r="51" spans="17:45" s="54" customFormat="1" x14ac:dyDescent="0.25">
      <c r="Q51" s="195"/>
      <c r="R51" s="195"/>
      <c r="S51" s="195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</row>
    <row r="52" spans="17:45" s="54" customFormat="1" x14ac:dyDescent="0.25">
      <c r="Q52" s="195"/>
      <c r="R52" s="195"/>
      <c r="S52" s="195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</row>
    <row r="53" spans="17:45" s="54" customFormat="1" x14ac:dyDescent="0.25">
      <c r="Q53" s="195"/>
      <c r="R53" s="195"/>
      <c r="S53" s="195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</row>
    <row r="54" spans="17:45" s="54" customFormat="1" x14ac:dyDescent="0.25">
      <c r="Q54" s="195"/>
      <c r="R54" s="195"/>
      <c r="S54" s="195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</row>
    <row r="55" spans="17:45" s="54" customFormat="1" x14ac:dyDescent="0.25">
      <c r="Q55" s="195"/>
      <c r="R55" s="195"/>
      <c r="S55" s="195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</row>
    <row r="56" spans="17:45" s="54" customFormat="1" x14ac:dyDescent="0.25">
      <c r="Q56" s="195"/>
      <c r="R56" s="195"/>
      <c r="S56" s="195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</row>
    <row r="57" spans="17:45" s="54" customFormat="1" x14ac:dyDescent="0.25">
      <c r="Q57" s="195"/>
      <c r="R57" s="195"/>
      <c r="S57" s="195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</row>
    <row r="58" spans="17:45" s="54" customFormat="1" x14ac:dyDescent="0.25">
      <c r="Q58" s="195"/>
      <c r="R58" s="195"/>
      <c r="S58" s="195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</row>
    <row r="59" spans="17:45" s="54" customFormat="1" x14ac:dyDescent="0.25">
      <c r="Q59" s="195"/>
      <c r="R59" s="195"/>
      <c r="S59" s="195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</row>
    <row r="60" spans="17:45" s="54" customFormat="1" x14ac:dyDescent="0.25">
      <c r="Q60" s="195"/>
      <c r="R60" s="195"/>
      <c r="S60" s="195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</row>
    <row r="61" spans="17:45" s="54" customFormat="1" x14ac:dyDescent="0.25">
      <c r="Q61" s="195"/>
      <c r="R61" s="195"/>
      <c r="S61" s="195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</row>
    <row r="62" spans="17:45" s="54" customFormat="1" x14ac:dyDescent="0.25">
      <c r="Q62" s="195"/>
      <c r="R62" s="195"/>
      <c r="S62" s="195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</row>
    <row r="63" spans="17:45" s="54" customFormat="1" x14ac:dyDescent="0.25">
      <c r="Q63" s="195"/>
      <c r="R63" s="195"/>
      <c r="S63" s="195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</row>
    <row r="64" spans="17:45" s="54" customFormat="1" x14ac:dyDescent="0.25">
      <c r="Q64" s="195"/>
      <c r="R64" s="195"/>
      <c r="S64" s="195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</row>
    <row r="65" spans="17:45" s="54" customFormat="1" x14ac:dyDescent="0.25">
      <c r="Q65" s="195"/>
      <c r="R65" s="195"/>
      <c r="S65" s="195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</row>
    <row r="66" spans="17:45" s="54" customFormat="1" x14ac:dyDescent="0.25">
      <c r="Q66" s="195"/>
      <c r="R66" s="195"/>
      <c r="S66" s="195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</row>
    <row r="67" spans="17:45" s="54" customFormat="1" x14ac:dyDescent="0.25">
      <c r="Q67" s="195"/>
      <c r="R67" s="195"/>
      <c r="S67" s="195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</row>
    <row r="68" spans="17:45" s="54" customFormat="1" x14ac:dyDescent="0.25">
      <c r="Q68" s="195"/>
      <c r="R68" s="195"/>
      <c r="S68" s="195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</row>
    <row r="69" spans="17:45" s="54" customFormat="1" x14ac:dyDescent="0.25">
      <c r="Q69" s="195"/>
      <c r="R69" s="195"/>
      <c r="S69" s="195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</row>
    <row r="70" spans="17:45" s="54" customFormat="1" x14ac:dyDescent="0.25">
      <c r="Q70" s="195"/>
      <c r="R70" s="195"/>
      <c r="S70" s="195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</row>
    <row r="71" spans="17:45" s="54" customFormat="1" x14ac:dyDescent="0.25">
      <c r="Q71" s="195"/>
      <c r="R71" s="195"/>
      <c r="S71" s="195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</row>
    <row r="72" spans="17:45" s="54" customFormat="1" x14ac:dyDescent="0.25">
      <c r="Q72" s="195"/>
      <c r="R72" s="195"/>
      <c r="S72" s="195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</row>
    <row r="73" spans="17:45" s="54" customFormat="1" x14ac:dyDescent="0.25">
      <c r="Q73" s="195"/>
      <c r="R73" s="195"/>
      <c r="S73" s="195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</row>
    <row r="74" spans="17:45" s="54" customFormat="1" x14ac:dyDescent="0.25">
      <c r="Q74" s="195"/>
      <c r="R74" s="195"/>
      <c r="S74" s="195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</row>
    <row r="75" spans="17:45" s="54" customFormat="1" x14ac:dyDescent="0.25">
      <c r="Q75" s="195"/>
      <c r="R75" s="195"/>
      <c r="S75" s="195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</row>
    <row r="76" spans="17:45" s="54" customFormat="1" x14ac:dyDescent="0.25">
      <c r="Q76" s="195"/>
      <c r="R76" s="195"/>
      <c r="S76" s="195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</row>
    <row r="77" spans="17:45" s="54" customFormat="1" x14ac:dyDescent="0.25">
      <c r="Q77" s="195"/>
      <c r="R77" s="195"/>
      <c r="S77" s="195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</row>
    <row r="78" spans="17:45" s="54" customFormat="1" x14ac:dyDescent="0.25">
      <c r="Q78" s="195"/>
      <c r="R78" s="195"/>
      <c r="S78" s="195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</row>
    <row r="79" spans="17:45" s="54" customFormat="1" x14ac:dyDescent="0.25">
      <c r="Q79" s="195"/>
      <c r="R79" s="195"/>
      <c r="S79" s="195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</row>
    <row r="80" spans="17:45" s="54" customFormat="1" x14ac:dyDescent="0.25">
      <c r="Q80" s="195"/>
      <c r="R80" s="195"/>
      <c r="S80" s="195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</row>
    <row r="81" spans="17:45" s="54" customFormat="1" x14ac:dyDescent="0.25">
      <c r="Q81" s="195"/>
      <c r="R81" s="195"/>
      <c r="S81" s="195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</row>
    <row r="82" spans="17:45" s="54" customFormat="1" x14ac:dyDescent="0.25">
      <c r="Q82" s="195"/>
      <c r="R82" s="195"/>
      <c r="S82" s="195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</row>
    <row r="83" spans="17:45" s="54" customFormat="1" x14ac:dyDescent="0.25">
      <c r="Q83" s="195"/>
      <c r="R83" s="195"/>
      <c r="S83" s="195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</row>
    <row r="84" spans="17:45" s="54" customFormat="1" x14ac:dyDescent="0.25">
      <c r="Q84" s="195"/>
      <c r="R84" s="195"/>
      <c r="S84" s="195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</row>
    <row r="85" spans="17:45" s="54" customFormat="1" x14ac:dyDescent="0.25">
      <c r="Q85" s="195"/>
      <c r="R85" s="195"/>
      <c r="S85" s="195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</row>
    <row r="86" spans="17:45" s="54" customFormat="1" x14ac:dyDescent="0.25">
      <c r="Q86" s="195"/>
      <c r="R86" s="195"/>
      <c r="S86" s="195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</row>
    <row r="87" spans="17:45" s="54" customFormat="1" x14ac:dyDescent="0.25">
      <c r="Q87" s="195"/>
      <c r="R87" s="195"/>
      <c r="S87" s="195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</row>
    <row r="88" spans="17:45" s="54" customFormat="1" x14ac:dyDescent="0.25">
      <c r="Q88" s="195"/>
      <c r="R88" s="195"/>
      <c r="S88" s="195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</row>
    <row r="89" spans="17:45" s="54" customFormat="1" x14ac:dyDescent="0.25">
      <c r="Q89" s="195"/>
      <c r="R89" s="195"/>
      <c r="S89" s="195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</row>
    <row r="90" spans="17:45" s="54" customFormat="1" x14ac:dyDescent="0.25">
      <c r="Q90" s="195"/>
      <c r="R90" s="195"/>
      <c r="S90" s="195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</row>
    <row r="91" spans="17:45" s="54" customFormat="1" x14ac:dyDescent="0.25">
      <c r="Q91" s="195"/>
      <c r="R91" s="195"/>
      <c r="S91" s="195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</row>
    <row r="92" spans="17:45" s="54" customFormat="1" x14ac:dyDescent="0.25">
      <c r="Q92" s="195"/>
      <c r="R92" s="195"/>
      <c r="S92" s="195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</row>
    <row r="93" spans="17:45" s="54" customFormat="1" x14ac:dyDescent="0.25">
      <c r="Q93" s="195"/>
      <c r="R93" s="195"/>
      <c r="S93" s="195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</row>
    <row r="94" spans="17:45" s="54" customFormat="1" x14ac:dyDescent="0.25">
      <c r="Q94" s="195"/>
      <c r="R94" s="195"/>
      <c r="S94" s="195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</row>
    <row r="95" spans="17:45" s="54" customFormat="1" x14ac:dyDescent="0.25">
      <c r="Q95" s="195"/>
      <c r="R95" s="195"/>
      <c r="S95" s="195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</row>
    <row r="96" spans="17:45" s="54" customFormat="1" x14ac:dyDescent="0.25">
      <c r="Q96" s="195"/>
      <c r="R96" s="195"/>
      <c r="S96" s="195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</row>
    <row r="97" spans="17:45" s="54" customFormat="1" x14ac:dyDescent="0.25">
      <c r="Q97" s="195"/>
      <c r="R97" s="195"/>
      <c r="S97" s="195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</row>
    <row r="98" spans="17:45" s="54" customFormat="1" x14ac:dyDescent="0.25">
      <c r="Q98" s="195"/>
      <c r="R98" s="195"/>
      <c r="S98" s="195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</row>
    <row r="99" spans="17:45" s="54" customFormat="1" x14ac:dyDescent="0.25">
      <c r="Q99" s="195"/>
      <c r="R99" s="195"/>
      <c r="S99" s="195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</row>
    <row r="100" spans="17:45" s="54" customFormat="1" x14ac:dyDescent="0.25">
      <c r="Q100" s="195"/>
      <c r="R100" s="195"/>
      <c r="S100" s="195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</row>
    <row r="101" spans="17:45" s="54" customFormat="1" x14ac:dyDescent="0.25">
      <c r="Q101" s="195"/>
      <c r="R101" s="195"/>
      <c r="S101" s="195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</row>
    <row r="102" spans="17:45" s="54" customFormat="1" x14ac:dyDescent="0.25">
      <c r="Q102" s="195"/>
      <c r="R102" s="195"/>
      <c r="S102" s="195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</row>
    <row r="103" spans="17:45" s="54" customFormat="1" x14ac:dyDescent="0.25">
      <c r="Q103" s="195"/>
      <c r="R103" s="195"/>
      <c r="S103" s="195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</row>
    <row r="104" spans="17:45" s="54" customFormat="1" x14ac:dyDescent="0.25">
      <c r="Q104" s="195"/>
      <c r="R104" s="195"/>
      <c r="S104" s="195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</row>
    <row r="105" spans="17:45" s="54" customFormat="1" x14ac:dyDescent="0.25">
      <c r="Q105" s="195"/>
      <c r="R105" s="195"/>
      <c r="S105" s="195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</row>
    <row r="106" spans="17:45" s="54" customFormat="1" x14ac:dyDescent="0.25">
      <c r="Q106" s="195"/>
      <c r="R106" s="195"/>
      <c r="S106" s="195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</row>
    <row r="107" spans="17:45" s="54" customFormat="1" x14ac:dyDescent="0.25">
      <c r="Q107" s="195"/>
      <c r="R107" s="195"/>
      <c r="S107" s="195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</row>
    <row r="108" spans="17:45" s="54" customFormat="1" x14ac:dyDescent="0.25">
      <c r="Q108" s="195"/>
      <c r="R108" s="195"/>
      <c r="S108" s="195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</row>
    <row r="109" spans="17:45" s="54" customFormat="1" x14ac:dyDescent="0.25">
      <c r="Q109" s="195"/>
      <c r="R109" s="195"/>
      <c r="S109" s="195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</row>
    <row r="110" spans="17:45" s="54" customFormat="1" x14ac:dyDescent="0.25">
      <c r="Q110" s="195"/>
      <c r="R110" s="195"/>
      <c r="S110" s="195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</row>
    <row r="111" spans="17:45" s="54" customFormat="1" x14ac:dyDescent="0.25">
      <c r="Q111" s="195"/>
      <c r="R111" s="195"/>
      <c r="S111" s="195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</row>
    <row r="112" spans="17:45" s="54" customFormat="1" x14ac:dyDescent="0.25">
      <c r="Q112" s="195"/>
      <c r="R112" s="195"/>
      <c r="S112" s="195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</row>
    <row r="113" spans="17:45" s="54" customFormat="1" x14ac:dyDescent="0.25">
      <c r="Q113" s="195"/>
      <c r="R113" s="195"/>
      <c r="S113" s="195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</row>
    <row r="114" spans="17:45" s="54" customFormat="1" x14ac:dyDescent="0.25">
      <c r="Q114" s="195"/>
      <c r="R114" s="195"/>
      <c r="S114" s="195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</row>
    <row r="115" spans="17:45" s="54" customFormat="1" x14ac:dyDescent="0.25">
      <c r="Q115" s="195"/>
      <c r="R115" s="195"/>
      <c r="S115" s="195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</row>
    <row r="116" spans="17:45" s="54" customFormat="1" x14ac:dyDescent="0.25">
      <c r="Q116" s="195"/>
      <c r="R116" s="195"/>
      <c r="S116" s="195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</row>
    <row r="117" spans="17:45" s="54" customFormat="1" x14ac:dyDescent="0.25">
      <c r="Q117" s="195"/>
      <c r="R117" s="195"/>
      <c r="S117" s="195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</row>
    <row r="118" spans="17:45" s="54" customFormat="1" x14ac:dyDescent="0.25">
      <c r="Q118" s="195"/>
      <c r="R118" s="195"/>
      <c r="S118" s="195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</row>
    <row r="119" spans="17:45" s="54" customFormat="1" x14ac:dyDescent="0.25">
      <c r="Q119" s="195"/>
      <c r="R119" s="195"/>
      <c r="S119" s="195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</row>
    <row r="120" spans="17:45" s="54" customFormat="1" x14ac:dyDescent="0.25">
      <c r="Q120" s="195"/>
      <c r="R120" s="195"/>
      <c r="S120" s="195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</row>
    <row r="121" spans="17:45" s="54" customFormat="1" x14ac:dyDescent="0.25">
      <c r="Q121" s="195"/>
      <c r="R121" s="195"/>
      <c r="S121" s="195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</row>
    <row r="122" spans="17:45" s="54" customFormat="1" x14ac:dyDescent="0.25">
      <c r="Q122" s="195"/>
      <c r="R122" s="195"/>
      <c r="S122" s="195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</row>
    <row r="123" spans="17:45" s="54" customFormat="1" x14ac:dyDescent="0.25">
      <c r="Q123" s="195"/>
      <c r="R123" s="195"/>
      <c r="S123" s="195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</row>
    <row r="124" spans="17:45" s="54" customFormat="1" x14ac:dyDescent="0.25">
      <c r="Q124" s="195"/>
      <c r="R124" s="195"/>
      <c r="S124" s="195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</row>
    <row r="125" spans="17:45" s="54" customFormat="1" x14ac:dyDescent="0.25">
      <c r="Q125" s="195"/>
      <c r="R125" s="195"/>
      <c r="S125" s="195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</row>
    <row r="126" spans="17:45" s="54" customFormat="1" x14ac:dyDescent="0.25">
      <c r="Q126" s="195"/>
      <c r="R126" s="195"/>
      <c r="S126" s="195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</row>
    <row r="127" spans="17:45" s="54" customFormat="1" x14ac:dyDescent="0.25">
      <c r="Q127" s="195"/>
      <c r="R127" s="195"/>
      <c r="S127" s="195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</row>
    <row r="128" spans="17:45" s="54" customFormat="1" x14ac:dyDescent="0.25">
      <c r="Q128" s="195"/>
      <c r="R128" s="195"/>
      <c r="S128" s="195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</row>
    <row r="129" spans="17:45" s="54" customFormat="1" x14ac:dyDescent="0.25">
      <c r="Q129" s="195"/>
      <c r="R129" s="195"/>
      <c r="S129" s="195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</row>
    <row r="130" spans="17:45" s="54" customFormat="1" x14ac:dyDescent="0.25">
      <c r="Q130" s="195"/>
      <c r="R130" s="195"/>
      <c r="S130" s="195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</row>
    <row r="131" spans="17:45" s="54" customFormat="1" x14ac:dyDescent="0.25">
      <c r="Q131" s="195"/>
      <c r="R131" s="195"/>
      <c r="S131" s="195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</row>
    <row r="132" spans="17:45" s="54" customFormat="1" x14ac:dyDescent="0.25">
      <c r="Q132" s="195"/>
      <c r="R132" s="195"/>
      <c r="S132" s="195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</row>
    <row r="133" spans="17:45" s="54" customFormat="1" x14ac:dyDescent="0.25">
      <c r="Q133" s="195"/>
      <c r="R133" s="195"/>
      <c r="S133" s="195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</row>
    <row r="134" spans="17:45" s="54" customFormat="1" x14ac:dyDescent="0.25">
      <c r="Q134" s="195"/>
      <c r="R134" s="195"/>
      <c r="S134" s="195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</row>
    <row r="135" spans="17:45" s="54" customFormat="1" x14ac:dyDescent="0.25">
      <c r="Q135" s="195"/>
      <c r="R135" s="195"/>
      <c r="S135" s="195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</row>
    <row r="136" spans="17:45" s="54" customFormat="1" x14ac:dyDescent="0.25">
      <c r="Q136" s="195"/>
      <c r="R136" s="195"/>
      <c r="S136" s="195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</row>
    <row r="137" spans="17:45" s="54" customFormat="1" x14ac:dyDescent="0.25">
      <c r="Q137" s="195"/>
      <c r="R137" s="195"/>
      <c r="S137" s="195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</row>
    <row r="138" spans="17:45" s="54" customFormat="1" x14ac:dyDescent="0.25">
      <c r="Q138" s="195"/>
      <c r="R138" s="195"/>
      <c r="S138" s="195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</row>
    <row r="139" spans="17:45" s="54" customFormat="1" x14ac:dyDescent="0.25">
      <c r="Q139" s="195"/>
      <c r="R139" s="195"/>
      <c r="S139" s="195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</row>
    <row r="140" spans="17:45" s="54" customFormat="1" x14ac:dyDescent="0.25">
      <c r="Q140" s="195"/>
      <c r="R140" s="195"/>
      <c r="S140" s="195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</row>
    <row r="141" spans="17:45" s="54" customFormat="1" x14ac:dyDescent="0.25">
      <c r="Q141" s="195"/>
      <c r="R141" s="195"/>
      <c r="S141" s="195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</row>
    <row r="142" spans="17:45" s="54" customFormat="1" x14ac:dyDescent="0.25">
      <c r="Q142" s="195"/>
      <c r="R142" s="195"/>
      <c r="S142" s="195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</row>
    <row r="143" spans="17:45" s="54" customFormat="1" x14ac:dyDescent="0.25">
      <c r="Q143" s="195"/>
      <c r="R143" s="195"/>
      <c r="S143" s="195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</row>
    <row r="144" spans="17:45" s="54" customFormat="1" x14ac:dyDescent="0.25">
      <c r="Q144" s="195"/>
      <c r="R144" s="195"/>
      <c r="S144" s="195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</row>
    <row r="145" spans="17:45" s="54" customFormat="1" x14ac:dyDescent="0.25">
      <c r="Q145" s="195"/>
      <c r="R145" s="195"/>
      <c r="S145" s="195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</row>
    <row r="146" spans="17:45" s="54" customFormat="1" x14ac:dyDescent="0.25">
      <c r="Q146" s="195"/>
      <c r="R146" s="195"/>
      <c r="S146" s="195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</row>
    <row r="147" spans="17:45" s="54" customFormat="1" x14ac:dyDescent="0.25">
      <c r="Q147" s="195"/>
      <c r="R147" s="195"/>
      <c r="S147" s="195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</row>
    <row r="148" spans="17:45" s="54" customFormat="1" x14ac:dyDescent="0.25">
      <c r="Q148" s="195"/>
      <c r="R148" s="195"/>
      <c r="S148" s="195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</row>
    <row r="149" spans="17:45" s="54" customFormat="1" x14ac:dyDescent="0.25">
      <c r="Q149" s="195"/>
      <c r="R149" s="195"/>
      <c r="S149" s="195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</row>
    <row r="150" spans="17:45" s="54" customFormat="1" x14ac:dyDescent="0.25">
      <c r="Q150" s="195"/>
      <c r="R150" s="195"/>
      <c r="S150" s="195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</row>
    <row r="151" spans="17:45" s="54" customFormat="1" x14ac:dyDescent="0.25">
      <c r="Q151" s="195"/>
      <c r="R151" s="195"/>
      <c r="S151" s="195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</row>
    <row r="152" spans="17:45" s="54" customFormat="1" x14ac:dyDescent="0.25">
      <c r="Q152" s="195"/>
      <c r="R152" s="195"/>
      <c r="S152" s="195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</row>
    <row r="153" spans="17:45" s="54" customFormat="1" x14ac:dyDescent="0.25">
      <c r="Q153" s="195"/>
      <c r="R153" s="195"/>
      <c r="S153" s="195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</row>
    <row r="154" spans="17:45" s="54" customFormat="1" x14ac:dyDescent="0.25">
      <c r="Q154" s="195"/>
      <c r="R154" s="195"/>
      <c r="S154" s="195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</row>
    <row r="155" spans="17:45" s="54" customFormat="1" x14ac:dyDescent="0.25">
      <c r="Q155" s="195"/>
      <c r="R155" s="195"/>
      <c r="S155" s="195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</row>
    <row r="156" spans="17:45" s="54" customFormat="1" x14ac:dyDescent="0.25">
      <c r="Q156" s="195"/>
      <c r="R156" s="195"/>
      <c r="S156" s="195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</row>
    <row r="157" spans="17:45" s="54" customFormat="1" x14ac:dyDescent="0.25">
      <c r="Q157" s="195"/>
      <c r="R157" s="195"/>
      <c r="S157" s="195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</row>
    <row r="158" spans="17:45" s="54" customFormat="1" x14ac:dyDescent="0.25">
      <c r="Q158" s="195"/>
      <c r="R158" s="195"/>
      <c r="S158" s="195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</row>
    <row r="159" spans="17:45" s="54" customFormat="1" x14ac:dyDescent="0.25">
      <c r="Q159" s="195"/>
      <c r="R159" s="195"/>
      <c r="S159" s="195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</row>
    <row r="160" spans="17:45" s="54" customFormat="1" x14ac:dyDescent="0.25">
      <c r="Q160" s="195"/>
      <c r="R160" s="195"/>
      <c r="S160" s="195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</row>
    <row r="161" spans="17:45" s="54" customFormat="1" x14ac:dyDescent="0.25">
      <c r="Q161" s="195"/>
      <c r="R161" s="195"/>
      <c r="S161" s="195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</row>
    <row r="162" spans="17:45" s="54" customFormat="1" x14ac:dyDescent="0.25">
      <c r="Q162" s="195"/>
      <c r="R162" s="195"/>
      <c r="S162" s="195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</row>
    <row r="163" spans="17:45" s="54" customFormat="1" x14ac:dyDescent="0.25">
      <c r="Q163" s="195"/>
      <c r="R163" s="195"/>
      <c r="S163" s="195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</row>
    <row r="164" spans="17:45" s="54" customFormat="1" x14ac:dyDescent="0.25">
      <c r="Q164" s="195"/>
      <c r="R164" s="195"/>
      <c r="S164" s="195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</row>
    <row r="165" spans="17:45" s="54" customFormat="1" x14ac:dyDescent="0.25">
      <c r="Q165" s="195"/>
      <c r="R165" s="195"/>
      <c r="S165" s="195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</row>
    <row r="166" spans="17:45" s="54" customFormat="1" x14ac:dyDescent="0.25">
      <c r="Q166" s="195"/>
      <c r="R166" s="195"/>
      <c r="S166" s="195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</row>
    <row r="167" spans="17:45" s="54" customFormat="1" x14ac:dyDescent="0.25">
      <c r="Q167" s="195"/>
      <c r="R167" s="195"/>
      <c r="S167" s="195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</row>
    <row r="168" spans="17:45" s="54" customFormat="1" x14ac:dyDescent="0.25">
      <c r="Q168" s="195"/>
      <c r="R168" s="195"/>
      <c r="S168" s="195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</row>
    <row r="169" spans="17:45" s="54" customFormat="1" x14ac:dyDescent="0.25">
      <c r="Q169" s="195"/>
      <c r="R169" s="195"/>
      <c r="S169" s="195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</row>
    <row r="170" spans="17:45" s="54" customFormat="1" x14ac:dyDescent="0.25">
      <c r="Q170" s="195"/>
      <c r="R170" s="195"/>
      <c r="S170" s="195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</row>
    <row r="171" spans="17:45" s="54" customFormat="1" x14ac:dyDescent="0.25">
      <c r="Q171" s="195"/>
      <c r="R171" s="195"/>
      <c r="S171" s="195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</row>
    <row r="172" spans="17:45" s="54" customFormat="1" x14ac:dyDescent="0.25">
      <c r="Q172" s="195"/>
      <c r="R172" s="195"/>
      <c r="S172" s="195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</row>
    <row r="173" spans="17:45" s="54" customFormat="1" x14ac:dyDescent="0.25">
      <c r="Q173" s="195"/>
      <c r="R173" s="195"/>
      <c r="S173" s="195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</row>
    <row r="174" spans="17:45" s="54" customFormat="1" x14ac:dyDescent="0.25">
      <c r="Q174" s="195"/>
      <c r="R174" s="195"/>
      <c r="S174" s="195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</row>
    <row r="175" spans="17:45" s="54" customFormat="1" x14ac:dyDescent="0.25">
      <c r="Q175" s="195"/>
      <c r="R175" s="195"/>
      <c r="S175" s="195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</row>
    <row r="176" spans="17:45" s="54" customFormat="1" x14ac:dyDescent="0.25">
      <c r="Q176" s="195"/>
      <c r="R176" s="195"/>
      <c r="S176" s="195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</row>
    <row r="177" spans="17:45" s="54" customFormat="1" x14ac:dyDescent="0.25">
      <c r="Q177" s="195"/>
      <c r="R177" s="195"/>
      <c r="S177" s="195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</row>
    <row r="178" spans="17:45" s="54" customFormat="1" x14ac:dyDescent="0.25">
      <c r="Q178" s="195"/>
      <c r="R178" s="195"/>
      <c r="S178" s="195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</row>
    <row r="179" spans="17:45" s="54" customFormat="1" x14ac:dyDescent="0.25">
      <c r="Q179" s="195"/>
      <c r="R179" s="195"/>
      <c r="S179" s="195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</row>
    <row r="180" spans="17:45" s="54" customFormat="1" x14ac:dyDescent="0.25">
      <c r="Q180" s="195"/>
      <c r="R180" s="195"/>
      <c r="S180" s="195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</row>
    <row r="181" spans="17:45" s="54" customFormat="1" x14ac:dyDescent="0.25">
      <c r="Q181" s="195"/>
      <c r="R181" s="195"/>
      <c r="S181" s="195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</row>
    <row r="182" spans="17:45" s="54" customFormat="1" x14ac:dyDescent="0.25">
      <c r="Q182" s="195"/>
      <c r="R182" s="195"/>
      <c r="S182" s="195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</row>
    <row r="183" spans="17:45" s="54" customFormat="1" x14ac:dyDescent="0.25">
      <c r="Q183" s="195"/>
      <c r="R183" s="195"/>
      <c r="S183" s="195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</row>
    <row r="184" spans="17:45" s="54" customFormat="1" x14ac:dyDescent="0.25">
      <c r="Q184" s="195"/>
      <c r="R184" s="195"/>
      <c r="S184" s="195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</row>
    <row r="185" spans="17:45" s="54" customFormat="1" x14ac:dyDescent="0.25">
      <c r="Q185" s="195"/>
      <c r="R185" s="195"/>
      <c r="S185" s="195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</row>
    <row r="186" spans="17:45" s="54" customFormat="1" x14ac:dyDescent="0.25">
      <c r="Q186" s="195"/>
      <c r="R186" s="195"/>
      <c r="S186" s="195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</row>
    <row r="187" spans="17:45" s="54" customFormat="1" x14ac:dyDescent="0.25">
      <c r="Q187" s="195"/>
      <c r="R187" s="195"/>
      <c r="S187" s="195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</row>
    <row r="188" spans="17:45" s="54" customFormat="1" x14ac:dyDescent="0.25">
      <c r="Q188" s="195"/>
      <c r="R188" s="195"/>
      <c r="S188" s="195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</row>
    <row r="189" spans="17:45" s="54" customFormat="1" x14ac:dyDescent="0.25">
      <c r="Q189" s="195"/>
      <c r="R189" s="195"/>
      <c r="S189" s="195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</row>
    <row r="190" spans="17:45" s="54" customFormat="1" x14ac:dyDescent="0.25">
      <c r="Q190" s="195"/>
      <c r="R190" s="195"/>
      <c r="S190" s="195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</row>
    <row r="191" spans="17:45" s="54" customFormat="1" x14ac:dyDescent="0.25">
      <c r="Q191" s="195"/>
      <c r="R191" s="195"/>
      <c r="S191" s="195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</row>
    <row r="192" spans="17:45" s="54" customFormat="1" x14ac:dyDescent="0.25">
      <c r="Q192" s="195"/>
      <c r="R192" s="195"/>
      <c r="S192" s="195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</row>
    <row r="193" spans="17:45" s="54" customFormat="1" x14ac:dyDescent="0.25">
      <c r="Q193" s="195"/>
      <c r="R193" s="195"/>
      <c r="S193" s="195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</row>
    <row r="194" spans="17:45" s="54" customFormat="1" x14ac:dyDescent="0.25">
      <c r="Q194" s="195"/>
      <c r="R194" s="195"/>
      <c r="S194" s="195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</row>
    <row r="195" spans="17:45" s="54" customFormat="1" x14ac:dyDescent="0.25">
      <c r="Q195" s="195"/>
      <c r="R195" s="195"/>
      <c r="S195" s="195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</row>
    <row r="196" spans="17:45" s="54" customFormat="1" x14ac:dyDescent="0.25">
      <c r="Q196" s="195"/>
      <c r="R196" s="195"/>
      <c r="S196" s="195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</row>
    <row r="197" spans="17:45" s="54" customFormat="1" x14ac:dyDescent="0.25">
      <c r="Q197" s="195"/>
      <c r="R197" s="195"/>
      <c r="S197" s="195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</row>
    <row r="198" spans="17:45" s="54" customFormat="1" x14ac:dyDescent="0.25">
      <c r="Q198" s="195"/>
      <c r="R198" s="195"/>
      <c r="S198" s="195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</row>
    <row r="199" spans="17:45" s="54" customFormat="1" x14ac:dyDescent="0.25">
      <c r="Q199" s="195"/>
      <c r="R199" s="195"/>
      <c r="S199" s="195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</row>
    <row r="200" spans="17:45" s="54" customFormat="1" x14ac:dyDescent="0.25">
      <c r="Q200" s="195"/>
      <c r="R200" s="195"/>
      <c r="S200" s="195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</row>
    <row r="201" spans="17:45" s="54" customFormat="1" x14ac:dyDescent="0.25">
      <c r="Q201" s="195"/>
      <c r="R201" s="195"/>
      <c r="S201" s="195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</row>
    <row r="202" spans="17:45" s="54" customFormat="1" x14ac:dyDescent="0.25">
      <c r="Q202" s="195"/>
      <c r="R202" s="195"/>
      <c r="S202" s="195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</row>
    <row r="203" spans="17:45" s="54" customFormat="1" x14ac:dyDescent="0.25">
      <c r="Q203" s="195"/>
      <c r="R203" s="195"/>
      <c r="S203" s="195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</row>
    <row r="204" spans="17:45" s="54" customFormat="1" x14ac:dyDescent="0.25">
      <c r="Q204" s="195"/>
      <c r="R204" s="195"/>
      <c r="S204" s="195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</row>
    <row r="205" spans="17:45" s="54" customFormat="1" x14ac:dyDescent="0.25">
      <c r="Q205" s="195"/>
      <c r="R205" s="195"/>
      <c r="S205" s="195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</row>
    <row r="206" spans="17:45" s="54" customFormat="1" x14ac:dyDescent="0.25">
      <c r="Q206" s="195"/>
      <c r="R206" s="195"/>
      <c r="S206" s="195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</row>
    <row r="207" spans="17:45" s="54" customFormat="1" x14ac:dyDescent="0.25">
      <c r="Q207" s="195"/>
      <c r="R207" s="195"/>
      <c r="S207" s="195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</row>
    <row r="208" spans="17:45" s="54" customFormat="1" x14ac:dyDescent="0.25">
      <c r="Q208" s="195"/>
      <c r="R208" s="195"/>
      <c r="S208" s="195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</row>
    <row r="209" spans="17:45" s="54" customFormat="1" x14ac:dyDescent="0.25">
      <c r="Q209" s="195"/>
      <c r="R209" s="195"/>
      <c r="S209" s="195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</row>
    <row r="210" spans="17:45" s="54" customFormat="1" x14ac:dyDescent="0.25">
      <c r="Q210" s="195"/>
      <c r="R210" s="195"/>
      <c r="S210" s="195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</row>
    <row r="211" spans="17:45" s="54" customFormat="1" x14ac:dyDescent="0.25">
      <c r="Q211" s="195"/>
      <c r="R211" s="195"/>
      <c r="S211" s="195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</row>
    <row r="212" spans="17:45" s="54" customFormat="1" x14ac:dyDescent="0.25">
      <c r="Q212" s="195"/>
      <c r="R212" s="195"/>
      <c r="S212" s="195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</row>
    <row r="213" spans="17:45" s="54" customFormat="1" x14ac:dyDescent="0.25">
      <c r="Q213" s="195"/>
      <c r="R213" s="195"/>
      <c r="S213" s="195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</row>
    <row r="214" spans="17:45" s="54" customFormat="1" x14ac:dyDescent="0.25">
      <c r="Q214" s="195"/>
      <c r="R214" s="195"/>
      <c r="S214" s="195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</row>
    <row r="215" spans="17:45" s="54" customFormat="1" x14ac:dyDescent="0.25">
      <c r="Q215" s="195"/>
      <c r="R215" s="195"/>
      <c r="S215" s="195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</row>
    <row r="216" spans="17:45" s="54" customFormat="1" x14ac:dyDescent="0.25">
      <c r="Q216" s="195"/>
      <c r="R216" s="195"/>
      <c r="S216" s="195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</row>
    <row r="217" spans="17:45" s="54" customFormat="1" x14ac:dyDescent="0.25">
      <c r="Q217" s="195"/>
      <c r="R217" s="195"/>
      <c r="S217" s="195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</row>
    <row r="218" spans="17:45" s="54" customFormat="1" x14ac:dyDescent="0.25">
      <c r="Q218" s="195"/>
      <c r="R218" s="195"/>
      <c r="S218" s="195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</row>
    <row r="219" spans="17:45" s="54" customFormat="1" x14ac:dyDescent="0.25">
      <c r="Q219" s="195"/>
      <c r="R219" s="195"/>
      <c r="S219" s="195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</row>
    <row r="220" spans="17:45" s="54" customFormat="1" x14ac:dyDescent="0.25">
      <c r="Q220" s="195"/>
      <c r="R220" s="195"/>
      <c r="S220" s="195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</row>
    <row r="221" spans="17:45" s="54" customFormat="1" x14ac:dyDescent="0.25">
      <c r="Q221" s="195"/>
      <c r="R221" s="195"/>
      <c r="S221" s="195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</row>
    <row r="222" spans="17:45" s="54" customFormat="1" x14ac:dyDescent="0.25">
      <c r="Q222" s="195"/>
      <c r="R222" s="195"/>
      <c r="S222" s="195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</row>
    <row r="223" spans="17:45" s="54" customFormat="1" x14ac:dyDescent="0.25">
      <c r="Q223" s="195"/>
      <c r="R223" s="195"/>
      <c r="S223" s="195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</row>
    <row r="224" spans="17:45" s="54" customFormat="1" x14ac:dyDescent="0.25">
      <c r="Q224" s="195"/>
      <c r="R224" s="195"/>
      <c r="S224" s="195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</row>
    <row r="225" spans="17:45" s="54" customFormat="1" x14ac:dyDescent="0.25">
      <c r="Q225" s="195"/>
      <c r="R225" s="195"/>
      <c r="S225" s="195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</row>
    <row r="226" spans="17:45" s="54" customFormat="1" x14ac:dyDescent="0.25">
      <c r="Q226" s="195"/>
      <c r="R226" s="195"/>
      <c r="S226" s="195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</row>
    <row r="227" spans="17:45" s="54" customFormat="1" x14ac:dyDescent="0.25">
      <c r="Q227" s="195"/>
      <c r="R227" s="195"/>
      <c r="S227" s="195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</row>
    <row r="228" spans="17:45" s="54" customFormat="1" x14ac:dyDescent="0.25">
      <c r="Q228" s="195"/>
      <c r="R228" s="195"/>
      <c r="S228" s="195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</row>
    <row r="229" spans="17:45" s="54" customFormat="1" x14ac:dyDescent="0.25">
      <c r="Q229" s="195"/>
      <c r="R229" s="195"/>
      <c r="S229" s="195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</row>
    <row r="230" spans="17:45" s="54" customFormat="1" x14ac:dyDescent="0.25">
      <c r="Q230" s="195"/>
      <c r="R230" s="195"/>
      <c r="S230" s="195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</row>
    <row r="231" spans="17:45" s="54" customFormat="1" x14ac:dyDescent="0.25">
      <c r="Q231" s="195"/>
      <c r="R231" s="195"/>
      <c r="S231" s="195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</row>
    <row r="232" spans="17:45" s="54" customFormat="1" x14ac:dyDescent="0.25">
      <c r="Q232" s="195"/>
      <c r="R232" s="195"/>
      <c r="S232" s="195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</row>
    <row r="233" spans="17:45" s="54" customFormat="1" x14ac:dyDescent="0.25">
      <c r="Q233" s="195"/>
      <c r="R233" s="195"/>
      <c r="S233" s="195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</row>
    <row r="234" spans="17:45" s="54" customFormat="1" x14ac:dyDescent="0.25">
      <c r="Q234" s="195"/>
      <c r="R234" s="195"/>
      <c r="S234" s="195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</row>
    <row r="235" spans="17:45" s="54" customFormat="1" x14ac:dyDescent="0.25">
      <c r="Q235" s="195"/>
      <c r="R235" s="195"/>
      <c r="S235" s="195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</row>
    <row r="236" spans="17:45" s="54" customFormat="1" x14ac:dyDescent="0.25">
      <c r="Q236" s="195"/>
      <c r="R236" s="195"/>
      <c r="S236" s="195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</row>
    <row r="237" spans="17:45" s="54" customFormat="1" x14ac:dyDescent="0.25">
      <c r="Q237" s="195"/>
      <c r="R237" s="195"/>
      <c r="S237" s="195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</row>
    <row r="238" spans="17:45" s="54" customFormat="1" x14ac:dyDescent="0.25">
      <c r="Q238" s="195"/>
      <c r="R238" s="195"/>
      <c r="S238" s="195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</row>
    <row r="239" spans="17:45" s="54" customFormat="1" x14ac:dyDescent="0.25">
      <c r="Q239" s="195"/>
      <c r="R239" s="195"/>
      <c r="S239" s="195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</row>
    <row r="240" spans="17:45" s="54" customFormat="1" x14ac:dyDescent="0.25">
      <c r="Q240" s="195"/>
      <c r="R240" s="195"/>
      <c r="S240" s="195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</row>
    <row r="241" spans="17:45" s="54" customFormat="1" x14ac:dyDescent="0.25">
      <c r="Q241" s="195"/>
      <c r="R241" s="195"/>
      <c r="S241" s="195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</row>
    <row r="242" spans="17:45" s="54" customFormat="1" x14ac:dyDescent="0.25">
      <c r="Q242" s="195"/>
      <c r="R242" s="195"/>
      <c r="S242" s="195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</row>
    <row r="243" spans="17:45" s="54" customFormat="1" x14ac:dyDescent="0.25">
      <c r="Q243" s="195"/>
      <c r="R243" s="195"/>
      <c r="S243" s="195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</row>
    <row r="244" spans="17:45" s="54" customFormat="1" x14ac:dyDescent="0.25">
      <c r="Q244" s="195"/>
      <c r="R244" s="195"/>
      <c r="S244" s="195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</row>
    <row r="245" spans="17:45" s="54" customFormat="1" x14ac:dyDescent="0.25">
      <c r="Q245" s="195"/>
      <c r="R245" s="195"/>
      <c r="S245" s="195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</row>
    <row r="246" spans="17:45" s="54" customFormat="1" x14ac:dyDescent="0.25">
      <c r="Q246" s="195"/>
      <c r="R246" s="195"/>
      <c r="S246" s="195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</row>
    <row r="247" spans="17:45" s="54" customFormat="1" x14ac:dyDescent="0.25">
      <c r="Q247" s="195"/>
      <c r="R247" s="195"/>
      <c r="S247" s="195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</row>
    <row r="248" spans="17:45" s="54" customFormat="1" x14ac:dyDescent="0.25">
      <c r="Q248" s="195"/>
      <c r="R248" s="195"/>
      <c r="S248" s="195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</row>
    <row r="249" spans="17:45" s="54" customFormat="1" x14ac:dyDescent="0.25">
      <c r="Q249" s="195"/>
      <c r="R249" s="195"/>
      <c r="S249" s="195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</row>
    <row r="250" spans="17:45" s="54" customFormat="1" x14ac:dyDescent="0.25">
      <c r="Q250" s="195"/>
      <c r="R250" s="195"/>
      <c r="S250" s="195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</row>
    <row r="251" spans="17:45" s="54" customFormat="1" x14ac:dyDescent="0.25">
      <c r="Q251" s="195"/>
      <c r="R251" s="195"/>
      <c r="S251" s="195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</row>
    <row r="252" spans="17:45" s="54" customFormat="1" x14ac:dyDescent="0.25">
      <c r="Q252" s="195"/>
      <c r="R252" s="195"/>
      <c r="S252" s="195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</row>
    <row r="253" spans="17:45" s="54" customFormat="1" x14ac:dyDescent="0.25">
      <c r="Q253" s="195"/>
      <c r="R253" s="195"/>
      <c r="S253" s="195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</row>
    <row r="254" spans="17:45" s="54" customFormat="1" x14ac:dyDescent="0.25">
      <c r="Q254" s="195"/>
      <c r="R254" s="195"/>
      <c r="S254" s="195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</row>
    <row r="255" spans="17:45" s="54" customFormat="1" x14ac:dyDescent="0.25">
      <c r="Q255" s="195"/>
      <c r="R255" s="195"/>
      <c r="S255" s="195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</row>
    <row r="256" spans="17:45" s="54" customFormat="1" x14ac:dyDescent="0.25">
      <c r="Q256" s="195"/>
      <c r="R256" s="195"/>
      <c r="S256" s="195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</row>
    <row r="257" spans="17:45" s="54" customFormat="1" x14ac:dyDescent="0.25">
      <c r="Q257" s="195"/>
      <c r="R257" s="195"/>
      <c r="S257" s="195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</row>
    <row r="258" spans="17:45" s="54" customFormat="1" x14ac:dyDescent="0.25">
      <c r="Q258" s="195"/>
      <c r="R258" s="195"/>
      <c r="S258" s="195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</row>
    <row r="259" spans="17:45" s="54" customFormat="1" x14ac:dyDescent="0.25">
      <c r="Q259" s="195"/>
      <c r="R259" s="195"/>
      <c r="S259" s="195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</row>
    <row r="260" spans="17:45" s="54" customFormat="1" x14ac:dyDescent="0.25">
      <c r="Q260" s="195"/>
      <c r="R260" s="195"/>
      <c r="S260" s="195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</row>
    <row r="261" spans="17:45" s="54" customFormat="1" x14ac:dyDescent="0.25">
      <c r="Q261" s="195"/>
      <c r="R261" s="195"/>
      <c r="S261" s="195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</row>
    <row r="262" spans="17:45" s="54" customFormat="1" x14ac:dyDescent="0.25">
      <c r="Q262" s="195"/>
      <c r="R262" s="195"/>
      <c r="S262" s="195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</row>
    <row r="263" spans="17:45" s="54" customFormat="1" x14ac:dyDescent="0.25">
      <c r="Q263" s="195"/>
      <c r="R263" s="195"/>
      <c r="S263" s="195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</row>
    <row r="264" spans="17:45" s="54" customFormat="1" x14ac:dyDescent="0.25">
      <c r="Q264" s="195"/>
      <c r="R264" s="195"/>
      <c r="S264" s="195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</row>
    <row r="265" spans="17:45" s="54" customFormat="1" x14ac:dyDescent="0.25">
      <c r="Q265" s="195"/>
      <c r="R265" s="195"/>
      <c r="S265" s="195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</row>
    <row r="266" spans="17:45" s="54" customFormat="1" x14ac:dyDescent="0.25">
      <c r="Q266" s="195"/>
      <c r="R266" s="195"/>
      <c r="S266" s="195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</row>
    <row r="267" spans="17:45" s="54" customFormat="1" x14ac:dyDescent="0.25">
      <c r="Q267" s="195"/>
      <c r="R267" s="195"/>
      <c r="S267" s="195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</row>
    <row r="268" spans="17:45" s="54" customFormat="1" x14ac:dyDescent="0.25">
      <c r="Q268" s="195"/>
      <c r="R268" s="195"/>
      <c r="S268" s="195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</row>
    <row r="269" spans="17:45" s="54" customFormat="1" x14ac:dyDescent="0.25">
      <c r="Q269" s="195"/>
      <c r="R269" s="195"/>
      <c r="S269" s="195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</row>
    <row r="270" spans="17:45" s="54" customFormat="1" x14ac:dyDescent="0.25">
      <c r="Q270" s="195"/>
      <c r="R270" s="195"/>
      <c r="S270" s="195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</row>
    <row r="271" spans="17:45" s="54" customFormat="1" x14ac:dyDescent="0.25">
      <c r="Q271" s="195"/>
      <c r="R271" s="195"/>
      <c r="S271" s="195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</row>
    <row r="272" spans="17:45" s="54" customFormat="1" x14ac:dyDescent="0.25">
      <c r="Q272" s="195"/>
      <c r="R272" s="195"/>
      <c r="S272" s="195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</row>
    <row r="273" spans="17:45" s="54" customFormat="1" x14ac:dyDescent="0.25">
      <c r="Q273" s="195"/>
      <c r="R273" s="195"/>
      <c r="S273" s="195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</row>
    <row r="274" spans="17:45" s="54" customFormat="1" x14ac:dyDescent="0.25">
      <c r="Q274" s="195"/>
      <c r="R274" s="195"/>
      <c r="S274" s="195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</row>
    <row r="275" spans="17:45" s="54" customFormat="1" x14ac:dyDescent="0.25">
      <c r="Q275" s="195"/>
      <c r="R275" s="195"/>
      <c r="S275" s="195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</row>
    <row r="276" spans="17:45" s="54" customFormat="1" x14ac:dyDescent="0.25">
      <c r="Q276" s="195"/>
      <c r="R276" s="195"/>
      <c r="S276" s="195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</row>
    <row r="277" spans="17:45" s="54" customFormat="1" x14ac:dyDescent="0.25">
      <c r="Q277" s="195"/>
      <c r="R277" s="195"/>
      <c r="S277" s="195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</row>
    <row r="278" spans="17:45" s="54" customFormat="1" x14ac:dyDescent="0.25">
      <c r="Q278" s="195"/>
      <c r="R278" s="195"/>
      <c r="S278" s="195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</row>
    <row r="279" spans="17:45" s="54" customFormat="1" x14ac:dyDescent="0.25">
      <c r="Q279" s="195"/>
      <c r="R279" s="195"/>
      <c r="S279" s="195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</row>
    <row r="280" spans="17:45" s="54" customFormat="1" x14ac:dyDescent="0.25">
      <c r="Q280" s="195"/>
      <c r="R280" s="195"/>
      <c r="S280" s="195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</row>
    <row r="281" spans="17:45" s="54" customFormat="1" x14ac:dyDescent="0.25">
      <c r="Q281" s="195"/>
      <c r="R281" s="195"/>
      <c r="S281" s="195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</row>
    <row r="282" spans="17:45" s="54" customFormat="1" x14ac:dyDescent="0.25">
      <c r="Q282" s="195"/>
      <c r="R282" s="195"/>
      <c r="S282" s="195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</row>
    <row r="283" spans="17:45" s="54" customFormat="1" x14ac:dyDescent="0.25">
      <c r="Q283" s="195"/>
      <c r="R283" s="195"/>
      <c r="S283" s="195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</row>
    <row r="284" spans="17:45" s="54" customFormat="1" x14ac:dyDescent="0.25">
      <c r="Q284" s="195"/>
      <c r="R284" s="195"/>
      <c r="S284" s="195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</row>
    <row r="285" spans="17:45" s="54" customFormat="1" x14ac:dyDescent="0.25">
      <c r="Q285" s="195"/>
      <c r="R285" s="195"/>
      <c r="S285" s="195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</row>
    <row r="286" spans="17:45" s="54" customFormat="1" x14ac:dyDescent="0.25">
      <c r="Q286" s="195"/>
      <c r="R286" s="195"/>
      <c r="S286" s="195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</row>
    <row r="287" spans="17:45" s="54" customFormat="1" x14ac:dyDescent="0.25">
      <c r="Q287" s="195"/>
      <c r="R287" s="195"/>
      <c r="S287" s="195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</row>
    <row r="288" spans="17:45" s="54" customFormat="1" x14ac:dyDescent="0.25">
      <c r="Q288" s="195"/>
      <c r="R288" s="195"/>
      <c r="S288" s="195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</row>
    <row r="289" spans="17:45" s="54" customFormat="1" x14ac:dyDescent="0.25">
      <c r="Q289" s="195"/>
      <c r="R289" s="195"/>
      <c r="S289" s="195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</row>
    <row r="290" spans="17:45" s="54" customFormat="1" x14ac:dyDescent="0.25">
      <c r="Q290" s="195"/>
      <c r="R290" s="195"/>
      <c r="S290" s="195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</row>
    <row r="291" spans="17:45" s="54" customFormat="1" x14ac:dyDescent="0.25">
      <c r="Q291" s="195"/>
      <c r="R291" s="195"/>
      <c r="S291" s="195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</row>
    <row r="292" spans="17:45" s="54" customFormat="1" x14ac:dyDescent="0.25">
      <c r="Q292" s="195"/>
      <c r="R292" s="195"/>
      <c r="S292" s="195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</row>
    <row r="293" spans="17:45" s="54" customFormat="1" x14ac:dyDescent="0.25">
      <c r="Q293" s="195"/>
      <c r="R293" s="195"/>
      <c r="S293" s="195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</row>
    <row r="294" spans="17:45" s="54" customFormat="1" x14ac:dyDescent="0.25">
      <c r="Q294" s="195"/>
      <c r="R294" s="195"/>
      <c r="S294" s="195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</row>
    <row r="295" spans="17:45" s="54" customFormat="1" x14ac:dyDescent="0.25">
      <c r="Q295" s="195"/>
      <c r="R295" s="195"/>
      <c r="S295" s="195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</row>
    <row r="296" spans="17:45" s="54" customFormat="1" x14ac:dyDescent="0.25">
      <c r="Q296" s="195"/>
      <c r="R296" s="195"/>
      <c r="S296" s="195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</row>
    <row r="297" spans="17:45" s="54" customFormat="1" x14ac:dyDescent="0.25">
      <c r="Q297" s="195"/>
      <c r="R297" s="195"/>
      <c r="S297" s="195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</row>
    <row r="298" spans="17:45" s="54" customFormat="1" x14ac:dyDescent="0.25">
      <c r="Q298" s="195"/>
      <c r="R298" s="195"/>
      <c r="S298" s="195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</row>
    <row r="299" spans="17:45" s="54" customFormat="1" x14ac:dyDescent="0.25">
      <c r="Q299" s="195"/>
      <c r="R299" s="195"/>
      <c r="S299" s="195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</row>
    <row r="300" spans="17:45" s="54" customFormat="1" x14ac:dyDescent="0.25">
      <c r="Q300" s="195"/>
      <c r="R300" s="195"/>
      <c r="S300" s="195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</row>
    <row r="301" spans="17:45" s="54" customFormat="1" x14ac:dyDescent="0.25">
      <c r="Q301" s="195"/>
      <c r="R301" s="195"/>
      <c r="S301" s="195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</row>
    <row r="302" spans="17:45" s="54" customFormat="1" x14ac:dyDescent="0.25">
      <c r="Q302" s="195"/>
      <c r="R302" s="195"/>
      <c r="S302" s="195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</row>
    <row r="303" spans="17:45" s="54" customFormat="1" x14ac:dyDescent="0.25">
      <c r="Q303" s="195"/>
      <c r="R303" s="195"/>
      <c r="S303" s="195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</row>
    <row r="304" spans="17:45" s="54" customFormat="1" x14ac:dyDescent="0.25">
      <c r="Q304" s="195"/>
      <c r="R304" s="195"/>
      <c r="S304" s="195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</row>
    <row r="305" spans="17:45" s="54" customFormat="1" x14ac:dyDescent="0.25">
      <c r="Q305" s="195"/>
      <c r="R305" s="195"/>
      <c r="S305" s="195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</row>
    <row r="306" spans="17:45" s="54" customFormat="1" x14ac:dyDescent="0.25">
      <c r="Q306" s="195"/>
      <c r="R306" s="195"/>
      <c r="S306" s="195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</row>
    <row r="307" spans="17:45" s="54" customFormat="1" x14ac:dyDescent="0.25">
      <c r="Q307" s="195"/>
      <c r="R307" s="195"/>
      <c r="S307" s="195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</row>
    <row r="308" spans="17:45" s="54" customFormat="1" x14ac:dyDescent="0.25">
      <c r="Q308" s="195"/>
      <c r="R308" s="195"/>
      <c r="S308" s="195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</row>
    <row r="309" spans="17:45" s="54" customFormat="1" x14ac:dyDescent="0.25">
      <c r="Q309" s="195"/>
      <c r="R309" s="195"/>
      <c r="S309" s="195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</row>
    <row r="310" spans="17:45" s="54" customFormat="1" x14ac:dyDescent="0.25">
      <c r="Q310" s="195"/>
      <c r="R310" s="195"/>
      <c r="S310" s="195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</row>
    <row r="311" spans="17:45" s="54" customFormat="1" x14ac:dyDescent="0.25">
      <c r="Q311" s="195"/>
      <c r="R311" s="195"/>
      <c r="S311" s="195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</row>
    <row r="312" spans="17:45" s="54" customFormat="1" x14ac:dyDescent="0.25">
      <c r="Q312" s="195"/>
      <c r="R312" s="195"/>
      <c r="S312" s="195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</row>
    <row r="313" spans="17:45" s="54" customFormat="1" x14ac:dyDescent="0.25">
      <c r="Q313" s="195"/>
      <c r="R313" s="195"/>
      <c r="S313" s="195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</row>
    <row r="314" spans="17:45" s="54" customFormat="1" x14ac:dyDescent="0.25">
      <c r="Q314" s="195"/>
      <c r="R314" s="195"/>
      <c r="S314" s="195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</row>
    <row r="315" spans="17:45" s="54" customFormat="1" x14ac:dyDescent="0.25">
      <c r="Q315" s="195"/>
      <c r="R315" s="195"/>
      <c r="S315" s="195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</row>
    <row r="316" spans="17:45" s="54" customFormat="1" x14ac:dyDescent="0.25">
      <c r="Q316" s="195"/>
      <c r="R316" s="195"/>
      <c r="S316" s="195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</row>
    <row r="317" spans="17:45" s="54" customFormat="1" x14ac:dyDescent="0.25">
      <c r="Q317" s="195"/>
      <c r="R317" s="195"/>
      <c r="S317" s="195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</row>
    <row r="318" spans="17:45" s="54" customFormat="1" x14ac:dyDescent="0.25">
      <c r="Q318" s="195"/>
      <c r="R318" s="195"/>
      <c r="S318" s="195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</row>
    <row r="319" spans="17:45" s="54" customFormat="1" x14ac:dyDescent="0.25">
      <c r="Q319" s="195"/>
      <c r="R319" s="195"/>
      <c r="S319" s="195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</row>
    <row r="320" spans="17:45" s="54" customFormat="1" x14ac:dyDescent="0.25">
      <c r="Q320" s="195"/>
      <c r="R320" s="195"/>
      <c r="S320" s="195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</row>
    <row r="321" spans="17:45" s="54" customFormat="1" x14ac:dyDescent="0.25">
      <c r="Q321" s="195"/>
      <c r="R321" s="195"/>
      <c r="S321" s="195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</row>
    <row r="322" spans="17:45" s="54" customFormat="1" x14ac:dyDescent="0.25">
      <c r="Q322" s="195"/>
      <c r="R322" s="195"/>
      <c r="S322" s="195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</row>
    <row r="323" spans="17:45" s="54" customFormat="1" x14ac:dyDescent="0.25">
      <c r="Q323" s="195"/>
      <c r="R323" s="195"/>
      <c r="S323" s="195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</row>
    <row r="324" spans="17:45" s="54" customFormat="1" x14ac:dyDescent="0.25">
      <c r="Q324" s="195"/>
      <c r="R324" s="195"/>
      <c r="S324" s="195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</row>
    <row r="325" spans="17:45" s="54" customFormat="1" x14ac:dyDescent="0.25">
      <c r="Q325" s="195"/>
      <c r="R325" s="195"/>
      <c r="S325" s="195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</row>
    <row r="326" spans="17:45" s="54" customFormat="1" x14ac:dyDescent="0.25">
      <c r="Q326" s="195"/>
      <c r="R326" s="195"/>
      <c r="S326" s="195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</row>
    <row r="327" spans="17:45" s="54" customFormat="1" x14ac:dyDescent="0.25">
      <c r="Q327" s="195"/>
      <c r="R327" s="195"/>
      <c r="S327" s="195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</row>
    <row r="328" spans="17:45" s="54" customFormat="1" x14ac:dyDescent="0.25">
      <c r="Q328" s="195"/>
      <c r="R328" s="195"/>
      <c r="S328" s="195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</row>
    <row r="329" spans="17:45" s="54" customFormat="1" x14ac:dyDescent="0.25">
      <c r="Q329" s="195"/>
      <c r="R329" s="195"/>
      <c r="S329" s="195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</row>
    <row r="330" spans="17:45" s="54" customFormat="1" x14ac:dyDescent="0.25">
      <c r="Q330" s="195"/>
      <c r="R330" s="195"/>
      <c r="S330" s="195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</row>
    <row r="331" spans="17:45" s="54" customFormat="1" x14ac:dyDescent="0.25">
      <c r="Q331" s="195"/>
      <c r="R331" s="195"/>
      <c r="S331" s="195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</row>
    <row r="332" spans="17:45" s="54" customFormat="1" x14ac:dyDescent="0.25">
      <c r="Q332" s="195"/>
      <c r="R332" s="195"/>
      <c r="S332" s="195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</row>
    <row r="333" spans="17:45" s="54" customFormat="1" x14ac:dyDescent="0.25">
      <c r="Q333" s="195"/>
      <c r="R333" s="195"/>
      <c r="S333" s="195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</row>
    <row r="334" spans="17:45" s="54" customFormat="1" x14ac:dyDescent="0.25">
      <c r="Q334" s="195"/>
      <c r="R334" s="195"/>
      <c r="S334" s="195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</row>
    <row r="335" spans="17:45" s="54" customFormat="1" x14ac:dyDescent="0.25">
      <c r="Q335" s="195"/>
      <c r="R335" s="195"/>
      <c r="S335" s="195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</row>
    <row r="336" spans="17:45" s="54" customFormat="1" x14ac:dyDescent="0.25">
      <c r="Q336" s="195"/>
      <c r="R336" s="195"/>
      <c r="S336" s="195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</row>
    <row r="337" spans="17:45" s="54" customFormat="1" x14ac:dyDescent="0.25">
      <c r="Q337" s="195"/>
      <c r="R337" s="195"/>
      <c r="S337" s="195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</row>
    <row r="338" spans="17:45" s="54" customFormat="1" x14ac:dyDescent="0.25">
      <c r="Q338" s="195"/>
      <c r="R338" s="195"/>
      <c r="S338" s="195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</row>
    <row r="339" spans="17:45" s="54" customFormat="1" x14ac:dyDescent="0.25">
      <c r="Q339" s="195"/>
      <c r="R339" s="195"/>
      <c r="S339" s="195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</row>
    <row r="340" spans="17:45" s="54" customFormat="1" x14ac:dyDescent="0.25">
      <c r="Q340" s="195"/>
      <c r="R340" s="195"/>
      <c r="S340" s="195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</row>
    <row r="341" spans="17:45" s="54" customFormat="1" x14ac:dyDescent="0.25">
      <c r="Q341" s="195"/>
      <c r="R341" s="195"/>
      <c r="S341" s="195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</row>
    <row r="342" spans="17:45" s="54" customFormat="1" x14ac:dyDescent="0.25">
      <c r="Q342" s="195"/>
      <c r="R342" s="195"/>
      <c r="S342" s="195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</row>
    <row r="343" spans="17:45" s="54" customFormat="1" x14ac:dyDescent="0.25">
      <c r="Q343" s="195"/>
      <c r="R343" s="195"/>
      <c r="S343" s="195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</row>
    <row r="344" spans="17:45" s="54" customFormat="1" x14ac:dyDescent="0.25">
      <c r="Q344" s="195"/>
      <c r="R344" s="195"/>
      <c r="S344" s="195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</row>
    <row r="345" spans="17:45" s="54" customFormat="1" x14ac:dyDescent="0.25">
      <c r="Q345" s="195"/>
      <c r="R345" s="195"/>
      <c r="S345" s="195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</row>
    <row r="346" spans="17:45" s="54" customFormat="1" x14ac:dyDescent="0.25">
      <c r="Q346" s="195"/>
      <c r="R346" s="195"/>
      <c r="S346" s="195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</row>
    <row r="347" spans="17:45" s="54" customFormat="1" x14ac:dyDescent="0.25">
      <c r="Q347" s="195"/>
      <c r="R347" s="195"/>
      <c r="S347" s="195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</row>
    <row r="348" spans="17:45" s="54" customFormat="1" x14ac:dyDescent="0.25">
      <c r="Q348" s="195"/>
      <c r="R348" s="195"/>
      <c r="S348" s="195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</row>
    <row r="349" spans="17:45" s="54" customFormat="1" x14ac:dyDescent="0.25">
      <c r="Q349" s="195"/>
      <c r="R349" s="195"/>
      <c r="S349" s="195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</row>
    <row r="350" spans="17:45" s="54" customFormat="1" x14ac:dyDescent="0.25">
      <c r="Q350" s="195"/>
      <c r="R350" s="195"/>
      <c r="S350" s="195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</row>
    <row r="351" spans="17:45" s="54" customFormat="1" x14ac:dyDescent="0.25">
      <c r="Q351" s="195"/>
      <c r="R351" s="195"/>
      <c r="S351" s="195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</row>
    <row r="352" spans="17:45" s="54" customFormat="1" x14ac:dyDescent="0.25">
      <c r="Q352" s="195"/>
      <c r="R352" s="195"/>
      <c r="S352" s="195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</row>
    <row r="353" spans="17:45" s="54" customFormat="1" x14ac:dyDescent="0.25">
      <c r="Q353" s="195"/>
      <c r="R353" s="195"/>
      <c r="S353" s="195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</row>
    <row r="354" spans="17:45" s="54" customFormat="1" x14ac:dyDescent="0.25">
      <c r="Q354" s="195"/>
      <c r="R354" s="195"/>
      <c r="S354" s="195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</row>
    <row r="355" spans="17:45" s="54" customFormat="1" x14ac:dyDescent="0.25">
      <c r="Q355" s="195"/>
      <c r="R355" s="195"/>
      <c r="S355" s="195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</row>
    <row r="356" spans="17:45" s="54" customFormat="1" x14ac:dyDescent="0.25">
      <c r="Q356" s="195"/>
      <c r="R356" s="195"/>
      <c r="S356" s="195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</row>
    <row r="357" spans="17:45" s="54" customFormat="1" x14ac:dyDescent="0.25">
      <c r="Q357" s="195"/>
      <c r="R357" s="195"/>
      <c r="S357" s="195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</row>
    <row r="358" spans="17:45" s="54" customFormat="1" x14ac:dyDescent="0.25">
      <c r="Q358" s="195"/>
      <c r="R358" s="195"/>
      <c r="S358" s="195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</row>
    <row r="359" spans="17:45" s="54" customFormat="1" x14ac:dyDescent="0.25">
      <c r="Q359" s="195"/>
      <c r="R359" s="195"/>
      <c r="S359" s="195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</row>
    <row r="360" spans="17:45" s="54" customFormat="1" x14ac:dyDescent="0.25">
      <c r="Q360" s="195"/>
      <c r="R360" s="195"/>
      <c r="S360" s="195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</row>
    <row r="361" spans="17:45" s="54" customFormat="1" x14ac:dyDescent="0.25">
      <c r="Q361" s="195"/>
      <c r="R361" s="195"/>
      <c r="S361" s="195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</row>
    <row r="362" spans="17:45" s="54" customFormat="1" x14ac:dyDescent="0.25">
      <c r="Q362" s="195"/>
      <c r="R362" s="195"/>
      <c r="S362" s="195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</row>
    <row r="363" spans="17:45" s="54" customFormat="1" x14ac:dyDescent="0.25">
      <c r="Q363" s="195"/>
      <c r="R363" s="195"/>
      <c r="S363" s="195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</row>
    <row r="364" spans="17:45" s="54" customFormat="1" x14ac:dyDescent="0.25">
      <c r="Q364" s="195"/>
      <c r="R364" s="195"/>
      <c r="S364" s="195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</row>
    <row r="365" spans="17:45" s="54" customFormat="1" x14ac:dyDescent="0.25">
      <c r="Q365" s="195"/>
      <c r="R365" s="195"/>
      <c r="S365" s="195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</row>
    <row r="366" spans="17:45" s="54" customFormat="1" x14ac:dyDescent="0.25">
      <c r="Q366" s="195"/>
      <c r="R366" s="195"/>
      <c r="S366" s="195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</row>
    <row r="367" spans="17:45" s="54" customFormat="1" x14ac:dyDescent="0.25">
      <c r="Q367" s="195"/>
      <c r="R367" s="195"/>
      <c r="S367" s="195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</row>
    <row r="368" spans="17:45" s="54" customFormat="1" x14ac:dyDescent="0.25">
      <c r="Q368" s="195"/>
      <c r="R368" s="195"/>
      <c r="S368" s="195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</row>
    <row r="369" spans="17:45" s="54" customFormat="1" x14ac:dyDescent="0.25">
      <c r="Q369" s="195"/>
      <c r="R369" s="195"/>
      <c r="S369" s="195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</row>
    <row r="370" spans="17:45" s="54" customFormat="1" x14ac:dyDescent="0.25">
      <c r="Q370" s="195"/>
      <c r="R370" s="195"/>
      <c r="S370" s="195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</row>
    <row r="371" spans="17:45" s="54" customFormat="1" x14ac:dyDescent="0.25">
      <c r="Q371" s="195"/>
      <c r="R371" s="195"/>
      <c r="S371" s="195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</row>
    <row r="372" spans="17:45" s="54" customFormat="1" x14ac:dyDescent="0.25">
      <c r="Q372" s="195"/>
      <c r="R372" s="195"/>
      <c r="S372" s="195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</row>
    <row r="373" spans="17:45" s="54" customFormat="1" x14ac:dyDescent="0.25">
      <c r="Q373" s="195"/>
      <c r="R373" s="195"/>
      <c r="S373" s="195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</row>
    <row r="374" spans="17:45" s="54" customFormat="1" x14ac:dyDescent="0.25">
      <c r="Q374" s="195"/>
      <c r="R374" s="195"/>
      <c r="S374" s="195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</row>
    <row r="375" spans="17:45" s="54" customFormat="1" x14ac:dyDescent="0.25">
      <c r="Q375" s="195"/>
      <c r="R375" s="195"/>
      <c r="S375" s="195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</row>
    <row r="376" spans="17:45" s="54" customFormat="1" x14ac:dyDescent="0.25">
      <c r="Q376" s="195"/>
      <c r="R376" s="195"/>
      <c r="S376" s="195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</row>
    <row r="377" spans="17:45" s="54" customFormat="1" x14ac:dyDescent="0.25">
      <c r="Q377" s="195"/>
      <c r="R377" s="195"/>
      <c r="S377" s="195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</row>
    <row r="378" spans="17:45" s="54" customFormat="1" x14ac:dyDescent="0.25">
      <c r="Q378" s="195"/>
      <c r="R378" s="195"/>
      <c r="S378" s="195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</row>
    <row r="379" spans="17:45" s="54" customFormat="1" x14ac:dyDescent="0.25">
      <c r="Q379" s="195"/>
      <c r="R379" s="195"/>
      <c r="S379" s="195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</row>
    <row r="380" spans="17:45" s="54" customFormat="1" x14ac:dyDescent="0.25">
      <c r="Q380" s="195"/>
      <c r="R380" s="195"/>
      <c r="S380" s="195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</row>
    <row r="381" spans="17:45" s="54" customFormat="1" x14ac:dyDescent="0.25">
      <c r="Q381" s="195"/>
      <c r="R381" s="195"/>
      <c r="S381" s="195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</row>
    <row r="382" spans="17:45" s="54" customFormat="1" x14ac:dyDescent="0.25">
      <c r="Q382" s="195"/>
      <c r="R382" s="195"/>
      <c r="S382" s="195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</row>
    <row r="383" spans="17:45" s="54" customFormat="1" x14ac:dyDescent="0.25">
      <c r="Q383" s="195"/>
      <c r="R383" s="195"/>
      <c r="S383" s="195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</row>
    <row r="384" spans="17:45" s="54" customFormat="1" x14ac:dyDescent="0.25">
      <c r="Q384" s="195"/>
      <c r="R384" s="195"/>
      <c r="S384" s="195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</row>
    <row r="385" spans="17:45" s="54" customFormat="1" x14ac:dyDescent="0.25">
      <c r="Q385" s="195"/>
      <c r="R385" s="195"/>
      <c r="S385" s="195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</row>
    <row r="386" spans="17:45" s="54" customFormat="1" x14ac:dyDescent="0.25">
      <c r="Q386" s="195"/>
      <c r="R386" s="195"/>
      <c r="S386" s="195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</row>
    <row r="387" spans="17:45" s="54" customFormat="1" x14ac:dyDescent="0.25">
      <c r="Q387" s="195"/>
      <c r="R387" s="195"/>
      <c r="S387" s="195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</row>
    <row r="388" spans="17:45" s="54" customFormat="1" x14ac:dyDescent="0.25">
      <c r="Q388" s="195"/>
      <c r="R388" s="195"/>
      <c r="S388" s="195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</row>
    <row r="389" spans="17:45" s="54" customFormat="1" x14ac:dyDescent="0.25">
      <c r="Q389" s="195"/>
      <c r="R389" s="195"/>
      <c r="S389" s="195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</row>
    <row r="390" spans="17:45" s="54" customFormat="1" x14ac:dyDescent="0.25">
      <c r="Q390" s="195"/>
      <c r="R390" s="195"/>
      <c r="S390" s="195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</row>
    <row r="391" spans="17:45" s="54" customFormat="1" x14ac:dyDescent="0.25">
      <c r="Q391" s="195"/>
      <c r="R391" s="195"/>
      <c r="S391" s="195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</row>
    <row r="392" spans="17:45" s="54" customFormat="1" x14ac:dyDescent="0.25">
      <c r="Q392" s="195"/>
      <c r="R392" s="195"/>
      <c r="S392" s="195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</row>
    <row r="393" spans="17:45" s="54" customFormat="1" x14ac:dyDescent="0.25">
      <c r="Q393" s="195"/>
      <c r="R393" s="195"/>
      <c r="S393" s="195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</row>
    <row r="394" spans="17:45" s="54" customFormat="1" x14ac:dyDescent="0.25">
      <c r="Q394" s="195"/>
      <c r="R394" s="195"/>
      <c r="S394" s="195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</row>
    <row r="395" spans="17:45" s="54" customFormat="1" x14ac:dyDescent="0.25">
      <c r="Q395" s="195"/>
      <c r="R395" s="195"/>
      <c r="S395" s="195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</row>
    <row r="396" spans="17:45" s="54" customFormat="1" x14ac:dyDescent="0.25">
      <c r="Q396" s="195"/>
      <c r="R396" s="195"/>
      <c r="S396" s="195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</row>
    <row r="397" spans="17:45" s="54" customFormat="1" x14ac:dyDescent="0.25">
      <c r="Q397" s="195"/>
      <c r="R397" s="195"/>
      <c r="S397" s="195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</row>
    <row r="398" spans="17:45" s="54" customFormat="1" x14ac:dyDescent="0.25">
      <c r="Q398" s="195"/>
      <c r="R398" s="195"/>
      <c r="S398" s="195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</row>
    <row r="399" spans="17:45" s="54" customFormat="1" x14ac:dyDescent="0.25">
      <c r="Q399" s="195"/>
      <c r="R399" s="195"/>
      <c r="S399" s="195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</row>
    <row r="400" spans="17:45" s="54" customFormat="1" x14ac:dyDescent="0.25">
      <c r="Q400" s="195"/>
      <c r="R400" s="195"/>
      <c r="S400" s="195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</row>
    <row r="401" spans="17:45" s="54" customFormat="1" x14ac:dyDescent="0.25">
      <c r="Q401" s="195"/>
      <c r="R401" s="195"/>
      <c r="S401" s="195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</row>
    <row r="402" spans="17:45" s="54" customFormat="1" x14ac:dyDescent="0.25">
      <c r="Q402" s="195"/>
      <c r="R402" s="195"/>
      <c r="S402" s="195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</row>
    <row r="403" spans="17:45" s="54" customFormat="1" x14ac:dyDescent="0.25">
      <c r="Q403" s="195"/>
      <c r="R403" s="195"/>
      <c r="S403" s="195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</row>
    <row r="404" spans="17:45" s="54" customFormat="1" x14ac:dyDescent="0.25">
      <c r="Q404" s="195"/>
      <c r="R404" s="195"/>
      <c r="S404" s="195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</row>
    <row r="405" spans="17:45" s="54" customFormat="1" x14ac:dyDescent="0.25">
      <c r="Q405" s="195"/>
      <c r="R405" s="195"/>
      <c r="S405" s="195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</row>
    <row r="406" spans="17:45" s="54" customFormat="1" x14ac:dyDescent="0.25">
      <c r="Q406" s="195"/>
      <c r="R406" s="195"/>
      <c r="S406" s="195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</row>
    <row r="407" spans="17:45" s="54" customFormat="1" x14ac:dyDescent="0.25">
      <c r="Q407" s="195"/>
      <c r="R407" s="195"/>
      <c r="S407" s="195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</row>
    <row r="408" spans="17:45" s="54" customFormat="1" x14ac:dyDescent="0.25">
      <c r="Q408" s="195"/>
      <c r="R408" s="195"/>
      <c r="S408" s="195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</row>
    <row r="409" spans="17:45" s="54" customFormat="1" x14ac:dyDescent="0.25">
      <c r="Q409" s="195"/>
      <c r="R409" s="195"/>
      <c r="S409" s="195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</row>
    <row r="410" spans="17:45" s="54" customFormat="1" x14ac:dyDescent="0.25">
      <c r="Q410" s="195"/>
      <c r="R410" s="195"/>
      <c r="S410" s="195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</row>
    <row r="411" spans="17:45" s="54" customFormat="1" x14ac:dyDescent="0.25">
      <c r="Q411" s="195"/>
      <c r="R411" s="195"/>
      <c r="S411" s="195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</row>
    <row r="412" spans="17:45" s="54" customFormat="1" x14ac:dyDescent="0.25">
      <c r="Q412" s="195"/>
      <c r="R412" s="195"/>
      <c r="S412" s="195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</row>
    <row r="413" spans="17:45" s="54" customFormat="1" x14ac:dyDescent="0.25">
      <c r="Q413" s="195"/>
      <c r="R413" s="195"/>
      <c r="S413" s="195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</row>
    <row r="414" spans="17:45" s="54" customFormat="1" x14ac:dyDescent="0.25">
      <c r="Q414" s="195"/>
      <c r="R414" s="195"/>
      <c r="S414" s="195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</row>
    <row r="415" spans="17:45" s="54" customFormat="1" x14ac:dyDescent="0.25">
      <c r="Q415" s="195"/>
      <c r="R415" s="195"/>
      <c r="S415" s="195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</row>
    <row r="416" spans="17:45" s="54" customFormat="1" x14ac:dyDescent="0.25">
      <c r="Q416" s="195"/>
      <c r="R416" s="195"/>
      <c r="S416" s="195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</row>
    <row r="417" spans="17:45" s="54" customFormat="1" x14ac:dyDescent="0.25">
      <c r="Q417" s="195"/>
      <c r="R417" s="195"/>
      <c r="S417" s="195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</row>
    <row r="418" spans="17:45" s="54" customFormat="1" x14ac:dyDescent="0.25">
      <c r="Q418" s="195"/>
      <c r="R418" s="195"/>
      <c r="S418" s="195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</row>
    <row r="419" spans="17:45" s="54" customFormat="1" x14ac:dyDescent="0.25">
      <c r="Q419" s="195"/>
      <c r="R419" s="195"/>
      <c r="S419" s="195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</row>
    <row r="420" spans="17:45" s="54" customFormat="1" x14ac:dyDescent="0.25">
      <c r="Q420" s="195"/>
      <c r="R420" s="195"/>
      <c r="S420" s="195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</row>
    <row r="421" spans="17:45" s="54" customFormat="1" x14ac:dyDescent="0.25">
      <c r="Q421" s="195"/>
      <c r="R421" s="195"/>
      <c r="S421" s="195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</row>
    <row r="422" spans="17:45" s="54" customFormat="1" x14ac:dyDescent="0.25">
      <c r="Q422" s="195"/>
      <c r="R422" s="195"/>
      <c r="S422" s="195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</row>
    <row r="423" spans="17:45" s="54" customFormat="1" x14ac:dyDescent="0.25">
      <c r="Q423" s="195"/>
      <c r="R423" s="195"/>
      <c r="S423" s="195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</row>
    <row r="424" spans="17:45" s="54" customFormat="1" x14ac:dyDescent="0.25">
      <c r="Q424" s="195"/>
      <c r="R424" s="195"/>
      <c r="S424" s="195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</row>
    <row r="425" spans="17:45" s="54" customFormat="1" x14ac:dyDescent="0.25">
      <c r="Q425" s="195"/>
      <c r="R425" s="195"/>
      <c r="S425" s="195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</row>
    <row r="426" spans="17:45" s="54" customFormat="1" x14ac:dyDescent="0.25">
      <c r="Q426" s="195"/>
      <c r="R426" s="195"/>
      <c r="S426" s="195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</row>
    <row r="427" spans="17:45" s="54" customFormat="1" x14ac:dyDescent="0.25">
      <c r="Q427" s="195"/>
      <c r="R427" s="195"/>
      <c r="S427" s="195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</row>
    <row r="428" spans="17:45" s="54" customFormat="1" x14ac:dyDescent="0.25">
      <c r="Q428" s="195"/>
      <c r="R428" s="195"/>
      <c r="S428" s="195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</row>
    <row r="429" spans="17:45" s="54" customFormat="1" x14ac:dyDescent="0.25">
      <c r="Q429" s="195"/>
      <c r="R429" s="195"/>
      <c r="S429" s="195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</row>
    <row r="430" spans="17:45" s="54" customFormat="1" x14ac:dyDescent="0.25">
      <c r="Q430" s="195"/>
      <c r="R430" s="195"/>
      <c r="S430" s="195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</row>
    <row r="431" spans="17:45" s="54" customFormat="1" x14ac:dyDescent="0.25">
      <c r="Q431" s="195"/>
      <c r="R431" s="195"/>
      <c r="S431" s="195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</row>
    <row r="432" spans="17:45" s="54" customFormat="1" x14ac:dyDescent="0.25">
      <c r="Q432" s="195"/>
      <c r="R432" s="195"/>
      <c r="S432" s="195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</row>
    <row r="433" spans="17:45" s="54" customFormat="1" x14ac:dyDescent="0.25">
      <c r="Q433" s="195"/>
      <c r="R433" s="195"/>
      <c r="S433" s="195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</row>
    <row r="434" spans="17:45" s="54" customFormat="1" x14ac:dyDescent="0.25">
      <c r="Q434" s="195"/>
      <c r="R434" s="195"/>
      <c r="S434" s="195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</row>
    <row r="435" spans="17:45" s="54" customFormat="1" x14ac:dyDescent="0.25">
      <c r="Q435" s="195"/>
      <c r="R435" s="195"/>
      <c r="S435" s="195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</row>
    <row r="436" spans="17:45" s="54" customFormat="1" x14ac:dyDescent="0.25">
      <c r="Q436" s="195"/>
      <c r="R436" s="195"/>
      <c r="S436" s="195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</row>
    <row r="437" spans="17:45" s="54" customFormat="1" x14ac:dyDescent="0.25">
      <c r="Q437" s="195"/>
      <c r="R437" s="195"/>
      <c r="S437" s="195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</row>
    <row r="438" spans="17:45" s="54" customFormat="1" x14ac:dyDescent="0.25">
      <c r="Q438" s="195"/>
      <c r="R438" s="195"/>
      <c r="S438" s="195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</row>
    <row r="439" spans="17:45" s="54" customFormat="1" x14ac:dyDescent="0.25">
      <c r="Q439" s="195"/>
      <c r="R439" s="195"/>
      <c r="S439" s="195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</row>
    <row r="440" spans="17:45" s="54" customFormat="1" x14ac:dyDescent="0.25">
      <c r="Q440" s="195"/>
      <c r="R440" s="195"/>
      <c r="S440" s="195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</row>
  </sheetData>
  <autoFilter ref="A14:BN34" xr:uid="{0579DE15-88B8-41E8-B8AA-4D1E113C0AE1}"/>
  <mergeCells count="15">
    <mergeCell ref="L13:P13"/>
    <mergeCell ref="Q13:S13"/>
    <mergeCell ref="D37:H37"/>
    <mergeCell ref="L37:O37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33">
    <cfRule type="expression" priority="9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569E5-61A3-4A12-9795-346CFDDF68E7}">
  <sheetPr>
    <tabColor rgb="FF00B050"/>
    <pageSetUpPr fitToPage="1"/>
  </sheetPr>
  <dimension ref="A1:BQ467"/>
  <sheetViews>
    <sheetView showZeros="0" topLeftCell="A49" zoomScale="90" zoomScaleNormal="90" workbookViewId="0">
      <selection activeCell="F60" sqref="F15:P60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7" width="8.28515625" style="4" customWidth="1"/>
    <col min="8" max="15" width="10.7109375" style="4" customWidth="1"/>
    <col min="16" max="16" width="13.28515625" style="4" customWidth="1"/>
    <col min="17" max="19" width="5.7109375" style="195" customWidth="1" outlineLevel="1"/>
    <col min="20" max="22" width="10.7109375" style="90" customWidth="1" outlineLevel="1"/>
    <col min="23" max="45" width="10.7109375" style="90" customWidth="1"/>
    <col min="46" max="66" width="8.85546875" style="54"/>
    <col min="67" max="16384" width="8.85546875" style="4"/>
  </cols>
  <sheetData>
    <row r="1" spans="1:68" ht="15" x14ac:dyDescent="0.2">
      <c r="A1" s="408" t="s">
        <v>480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68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68" ht="15" x14ac:dyDescent="0.2">
      <c r="A3" s="409" t="str">
        <f>Kopsavilkums!C25</f>
        <v>Fasādes apdares darbi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4" spans="1:68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</row>
    <row r="5" spans="1:68" x14ac:dyDescent="0.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68" x14ac:dyDescent="0.2">
      <c r="A6" s="1" t="s">
        <v>64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68" x14ac:dyDescent="0.2">
      <c r="A7" s="1" t="s">
        <v>65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68" x14ac:dyDescent="0.2">
      <c r="A8" s="2" t="s">
        <v>66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68" x14ac:dyDescent="0.2">
      <c r="A9" s="1" t="s">
        <v>54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0</v>
      </c>
      <c r="P9" s="18">
        <f>P61</f>
        <v>0</v>
      </c>
    </row>
    <row r="10" spans="1:68" ht="4.9000000000000004" customHeight="1" x14ac:dyDescent="0.2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68" x14ac:dyDescent="0.2">
      <c r="A11" s="107" t="s">
        <v>67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 xml:space="preserve">Tāme sastādīta: </v>
      </c>
    </row>
    <row r="12" spans="1:68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68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</v>
      </c>
      <c r="E13" s="418" t="s">
        <v>5</v>
      </c>
      <c r="F13" s="412" t="s">
        <v>6</v>
      </c>
      <c r="G13" s="420" t="s">
        <v>19</v>
      </c>
      <c r="H13" s="404" t="s">
        <v>7</v>
      </c>
      <c r="I13" s="405"/>
      <c r="J13" s="405"/>
      <c r="K13" s="406"/>
      <c r="L13" s="405" t="s">
        <v>8</v>
      </c>
      <c r="M13" s="405"/>
      <c r="N13" s="405"/>
      <c r="O13" s="405"/>
      <c r="P13" s="406"/>
      <c r="Q13" s="403"/>
      <c r="R13" s="403"/>
      <c r="S13" s="403"/>
    </row>
    <row r="14" spans="1:68" ht="34.9" customHeight="1" thickBot="1" x14ac:dyDescent="0.25">
      <c r="A14" s="413"/>
      <c r="B14" s="415"/>
      <c r="C14" s="415"/>
      <c r="D14" s="417"/>
      <c r="E14" s="419"/>
      <c r="F14" s="413"/>
      <c r="G14" s="421"/>
      <c r="H14" s="56" t="s">
        <v>17</v>
      </c>
      <c r="I14" s="60" t="s">
        <v>16</v>
      </c>
      <c r="J14" s="57" t="s">
        <v>15</v>
      </c>
      <c r="K14" s="58" t="s">
        <v>18</v>
      </c>
      <c r="L14" s="58" t="s">
        <v>9</v>
      </c>
      <c r="M14" s="56" t="s">
        <v>17</v>
      </c>
      <c r="N14" s="60" t="s">
        <v>16</v>
      </c>
      <c r="O14" s="57" t="s">
        <v>15</v>
      </c>
      <c r="P14" s="59" t="s">
        <v>14</v>
      </c>
      <c r="Q14" s="196"/>
      <c r="R14" s="196"/>
      <c r="S14" s="196"/>
    </row>
    <row r="15" spans="1:68" x14ac:dyDescent="0.2">
      <c r="A15" s="333"/>
      <c r="B15" s="138"/>
      <c r="C15" s="177" t="str">
        <f>A3</f>
        <v>Fasādes apdares darbi</v>
      </c>
      <c r="D15" s="139"/>
      <c r="E15" s="140"/>
      <c r="F15" s="119"/>
      <c r="G15" s="61"/>
      <c r="H15" s="26"/>
      <c r="I15" s="27"/>
      <c r="J15" s="27"/>
      <c r="K15" s="25"/>
      <c r="L15" s="25"/>
      <c r="M15" s="26"/>
      <c r="N15" s="27"/>
      <c r="O15" s="28"/>
      <c r="P15" s="29"/>
    </row>
    <row r="16" spans="1:68" s="220" customFormat="1" ht="22.5" x14ac:dyDescent="0.2">
      <c r="A16" s="225"/>
      <c r="B16" s="226"/>
      <c r="C16" s="178" t="s">
        <v>439</v>
      </c>
      <c r="D16" s="178"/>
      <c r="E16" s="234"/>
      <c r="F16" s="26"/>
      <c r="G16" s="61"/>
      <c r="H16" s="221"/>
      <c r="I16" s="222"/>
      <c r="J16" s="222"/>
      <c r="K16" s="25"/>
      <c r="L16" s="25"/>
      <c r="M16" s="26"/>
      <c r="N16" s="27"/>
      <c r="O16" s="28"/>
      <c r="P16" s="29"/>
      <c r="Q16" s="195"/>
      <c r="R16" s="195"/>
      <c r="S16" s="195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</row>
    <row r="17" spans="1:69" s="220" customFormat="1" x14ac:dyDescent="0.2">
      <c r="A17" s="334" t="s">
        <v>34</v>
      </c>
      <c r="B17" s="182"/>
      <c r="C17" s="206" t="s">
        <v>436</v>
      </c>
      <c r="D17" s="180" t="s">
        <v>695</v>
      </c>
      <c r="E17" s="181">
        <v>700</v>
      </c>
      <c r="F17" s="26"/>
      <c r="G17" s="61"/>
      <c r="H17" s="221"/>
      <c r="I17" s="222"/>
      <c r="J17" s="222"/>
      <c r="K17" s="25"/>
      <c r="L17" s="25"/>
      <c r="M17" s="26"/>
      <c r="N17" s="27"/>
      <c r="O17" s="28"/>
      <c r="P17" s="29"/>
      <c r="Q17" s="195"/>
      <c r="R17" s="195"/>
      <c r="S17" s="195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</row>
    <row r="18" spans="1:69" s="220" customFormat="1" ht="22.5" x14ac:dyDescent="0.2">
      <c r="A18" s="225"/>
      <c r="B18" s="226"/>
      <c r="C18" s="185" t="s">
        <v>437</v>
      </c>
      <c r="D18" s="180" t="s">
        <v>318</v>
      </c>
      <c r="E18" s="181">
        <v>2</v>
      </c>
      <c r="F18" s="26"/>
      <c r="G18" s="61"/>
      <c r="H18" s="221"/>
      <c r="I18" s="222"/>
      <c r="J18" s="222"/>
      <c r="K18" s="25"/>
      <c r="L18" s="25"/>
      <c r="M18" s="26"/>
      <c r="N18" s="27"/>
      <c r="O18" s="28"/>
      <c r="P18" s="29"/>
      <c r="Q18" s="195"/>
      <c r="R18" s="195"/>
      <c r="S18" s="195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</row>
    <row r="19" spans="1:69" s="220" customFormat="1" x14ac:dyDescent="0.2">
      <c r="A19" s="334"/>
      <c r="B19" s="182"/>
      <c r="C19" s="185" t="s">
        <v>438</v>
      </c>
      <c r="D19" s="180" t="s">
        <v>43</v>
      </c>
      <c r="E19" s="181">
        <f>E17</f>
        <v>700</v>
      </c>
      <c r="F19" s="26"/>
      <c r="G19" s="61"/>
      <c r="H19" s="221"/>
      <c r="I19" s="222"/>
      <c r="J19" s="222"/>
      <c r="K19" s="25"/>
      <c r="L19" s="25"/>
      <c r="M19" s="26"/>
      <c r="N19" s="27"/>
      <c r="O19" s="28"/>
      <c r="P19" s="29"/>
      <c r="Q19" s="195"/>
      <c r="R19" s="195"/>
      <c r="S19" s="195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</row>
    <row r="20" spans="1:69" s="184" customFormat="1" ht="22.5" x14ac:dyDescent="0.15">
      <c r="A20" s="334"/>
      <c r="B20" s="176"/>
      <c r="C20" s="178" t="s">
        <v>320</v>
      </c>
      <c r="D20" s="178"/>
      <c r="E20" s="191"/>
      <c r="F20" s="26"/>
      <c r="G20" s="61"/>
      <c r="H20" s="26"/>
      <c r="I20" s="27"/>
      <c r="J20" s="27"/>
      <c r="K20" s="25"/>
      <c r="L20" s="25"/>
      <c r="M20" s="26"/>
      <c r="N20" s="27"/>
      <c r="O20" s="28"/>
      <c r="P20" s="29"/>
      <c r="Q20" s="195"/>
      <c r="R20" s="195"/>
      <c r="S20" s="195"/>
      <c r="T20" s="207"/>
      <c r="U20" s="207"/>
      <c r="V20" s="207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</row>
    <row r="21" spans="1:69" s="184" customFormat="1" ht="22.5" x14ac:dyDescent="0.15">
      <c r="A21" s="334" t="s">
        <v>35</v>
      </c>
      <c r="B21" s="186"/>
      <c r="C21" s="179" t="s">
        <v>323</v>
      </c>
      <c r="D21" s="180" t="s">
        <v>42</v>
      </c>
      <c r="E21" s="181">
        <v>8.75</v>
      </c>
      <c r="F21" s="26"/>
      <c r="G21" s="61"/>
      <c r="H21" s="26"/>
      <c r="I21" s="27"/>
      <c r="J21" s="27"/>
      <c r="K21" s="25"/>
      <c r="L21" s="25"/>
      <c r="M21" s="26"/>
      <c r="N21" s="27"/>
      <c r="O21" s="28"/>
      <c r="P21" s="29"/>
      <c r="Q21" s="195"/>
      <c r="R21" s="195"/>
      <c r="S21" s="195"/>
      <c r="T21" s="207"/>
      <c r="U21" s="207"/>
      <c r="V21" s="207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</row>
    <row r="22" spans="1:69" s="184" customFormat="1" ht="11.25" x14ac:dyDescent="0.15">
      <c r="A22" s="334"/>
      <c r="B22" s="186"/>
      <c r="C22" s="185" t="s">
        <v>321</v>
      </c>
      <c r="D22" s="180" t="s">
        <v>42</v>
      </c>
      <c r="E22" s="267">
        <f>ROUND(8.75*1.1,3)</f>
        <v>9.625</v>
      </c>
      <c r="F22" s="26"/>
      <c r="G22" s="61"/>
      <c r="H22" s="26"/>
      <c r="I22" s="27"/>
      <c r="J22" s="27"/>
      <c r="K22" s="25"/>
      <c r="L22" s="25"/>
      <c r="M22" s="26"/>
      <c r="N22" s="27"/>
      <c r="O22" s="28"/>
      <c r="P22" s="29"/>
      <c r="Q22" s="195"/>
      <c r="R22" s="195"/>
      <c r="S22" s="195"/>
      <c r="T22" s="207"/>
      <c r="U22" s="207"/>
      <c r="V22" s="207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</row>
    <row r="23" spans="1:69" s="184" customFormat="1" ht="33.75" x14ac:dyDescent="0.15">
      <c r="A23" s="334"/>
      <c r="B23" s="182"/>
      <c r="C23" s="185" t="s">
        <v>300</v>
      </c>
      <c r="D23" s="180" t="s">
        <v>48</v>
      </c>
      <c r="E23" s="181">
        <v>1</v>
      </c>
      <c r="F23" s="26"/>
      <c r="G23" s="61"/>
      <c r="H23" s="26"/>
      <c r="I23" s="27"/>
      <c r="J23" s="27"/>
      <c r="K23" s="25"/>
      <c r="L23" s="25"/>
      <c r="M23" s="26"/>
      <c r="N23" s="27"/>
      <c r="O23" s="28"/>
      <c r="P23" s="29"/>
      <c r="Q23" s="195"/>
      <c r="R23" s="195"/>
      <c r="S23" s="195"/>
      <c r="T23" s="207"/>
      <c r="U23" s="207"/>
      <c r="V23" s="207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</row>
    <row r="24" spans="1:69" s="184" customFormat="1" ht="22.5" x14ac:dyDescent="0.15">
      <c r="A24" s="334"/>
      <c r="B24" s="186"/>
      <c r="C24" s="178" t="s">
        <v>330</v>
      </c>
      <c r="D24" s="180"/>
      <c r="E24" s="181"/>
      <c r="F24" s="26"/>
      <c r="G24" s="61"/>
      <c r="H24" s="26"/>
      <c r="I24" s="27"/>
      <c r="J24" s="27"/>
      <c r="K24" s="25"/>
      <c r="L24" s="25"/>
      <c r="M24" s="26"/>
      <c r="N24" s="27"/>
      <c r="O24" s="28"/>
      <c r="P24" s="29"/>
      <c r="Q24" s="195"/>
      <c r="R24" s="195"/>
      <c r="S24" s="195"/>
      <c r="T24" s="207"/>
      <c r="U24" s="207"/>
      <c r="V24" s="207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</row>
    <row r="25" spans="1:69" s="184" customFormat="1" ht="22.5" x14ac:dyDescent="0.15">
      <c r="A25" s="334" t="s">
        <v>36</v>
      </c>
      <c r="B25" s="186"/>
      <c r="C25" s="179" t="s">
        <v>327</v>
      </c>
      <c r="D25" s="180" t="s">
        <v>43</v>
      </c>
      <c r="E25" s="183">
        <v>216.9</v>
      </c>
      <c r="F25" s="26"/>
      <c r="G25" s="61"/>
      <c r="H25" s="26"/>
      <c r="I25" s="27"/>
      <c r="J25" s="27"/>
      <c r="K25" s="25"/>
      <c r="L25" s="25"/>
      <c r="M25" s="26"/>
      <c r="N25" s="27"/>
      <c r="O25" s="28"/>
      <c r="P25" s="29"/>
      <c r="Q25" s="195"/>
      <c r="R25" s="195"/>
      <c r="S25" s="195"/>
      <c r="T25" s="207"/>
      <c r="U25" s="207"/>
      <c r="V25" s="207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</row>
    <row r="26" spans="1:69" s="184" customFormat="1" ht="22.5" x14ac:dyDescent="0.15">
      <c r="A26" s="334"/>
      <c r="B26" s="186"/>
      <c r="C26" s="185" t="s">
        <v>694</v>
      </c>
      <c r="D26" s="180" t="s">
        <v>43</v>
      </c>
      <c r="E26" s="126">
        <f>ROUND(E25*1.1,1)</f>
        <v>238.6</v>
      </c>
      <c r="F26" s="26"/>
      <c r="G26" s="61"/>
      <c r="H26" s="26"/>
      <c r="I26" s="27"/>
      <c r="J26" s="27"/>
      <c r="K26" s="25"/>
      <c r="L26" s="25"/>
      <c r="M26" s="26"/>
      <c r="N26" s="27"/>
      <c r="O26" s="28"/>
      <c r="P26" s="29"/>
      <c r="Q26" s="195"/>
      <c r="R26" s="195"/>
      <c r="S26" s="195"/>
      <c r="T26" s="207"/>
      <c r="U26" s="207"/>
      <c r="V26" s="207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</row>
    <row r="27" spans="1:69" s="184" customFormat="1" ht="22.5" x14ac:dyDescent="0.15">
      <c r="A27" s="334"/>
      <c r="B27" s="186"/>
      <c r="C27" s="187" t="s">
        <v>328</v>
      </c>
      <c r="D27" s="180" t="s">
        <v>43</v>
      </c>
      <c r="E27" s="183">
        <f>E25</f>
        <v>216.9</v>
      </c>
      <c r="F27" s="26"/>
      <c r="G27" s="61"/>
      <c r="H27" s="26"/>
      <c r="I27" s="27"/>
      <c r="J27" s="27"/>
      <c r="K27" s="25"/>
      <c r="L27" s="25"/>
      <c r="M27" s="26"/>
      <c r="N27" s="27"/>
      <c r="O27" s="28"/>
      <c r="P27" s="29"/>
      <c r="Q27" s="195"/>
      <c r="R27" s="195"/>
      <c r="S27" s="195"/>
      <c r="T27" s="207"/>
      <c r="U27" s="207"/>
      <c r="V27" s="207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</row>
    <row r="28" spans="1:69" s="184" customFormat="1" ht="11.25" x14ac:dyDescent="0.15">
      <c r="A28" s="334" t="s">
        <v>37</v>
      </c>
      <c r="B28" s="182"/>
      <c r="C28" s="179" t="s">
        <v>329</v>
      </c>
      <c r="D28" s="180" t="s">
        <v>43</v>
      </c>
      <c r="E28" s="183">
        <f>E25</f>
        <v>216.9</v>
      </c>
      <c r="F28" s="26"/>
      <c r="G28" s="61"/>
      <c r="H28" s="26"/>
      <c r="I28" s="27"/>
      <c r="J28" s="27"/>
      <c r="K28" s="25"/>
      <c r="L28" s="25"/>
      <c r="M28" s="26"/>
      <c r="N28" s="27"/>
      <c r="O28" s="28"/>
      <c r="P28" s="29"/>
      <c r="Q28" s="195"/>
      <c r="R28" s="195"/>
      <c r="S28" s="195"/>
      <c r="T28" s="207"/>
      <c r="U28" s="207"/>
      <c r="V28" s="207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</row>
    <row r="29" spans="1:69" s="184" customFormat="1" ht="11.25" x14ac:dyDescent="0.15">
      <c r="A29" s="334"/>
      <c r="B29" s="182"/>
      <c r="C29" s="188" t="s">
        <v>417</v>
      </c>
      <c r="D29" s="180"/>
      <c r="E29" s="181"/>
      <c r="F29" s="26"/>
      <c r="G29" s="61"/>
      <c r="H29" s="26"/>
      <c r="I29" s="27"/>
      <c r="J29" s="27"/>
      <c r="K29" s="25"/>
      <c r="L29" s="25"/>
      <c r="M29" s="26"/>
      <c r="N29" s="27"/>
      <c r="O29" s="28"/>
      <c r="P29" s="29"/>
      <c r="Q29" s="195"/>
      <c r="R29" s="195"/>
      <c r="S29" s="195"/>
      <c r="T29" s="207"/>
      <c r="U29" s="207"/>
      <c r="V29" s="207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</row>
    <row r="30" spans="1:69" s="184" customFormat="1" ht="25.5" x14ac:dyDescent="0.15">
      <c r="A30" s="334"/>
      <c r="B30" s="182"/>
      <c r="C30" s="235" t="s">
        <v>696</v>
      </c>
      <c r="D30" s="188" t="s">
        <v>43</v>
      </c>
      <c r="E30" s="268">
        <v>19.399999999999999</v>
      </c>
      <c r="F30" s="26"/>
      <c r="G30" s="61"/>
      <c r="H30" s="26"/>
      <c r="I30" s="27"/>
      <c r="J30" s="27"/>
      <c r="K30" s="25"/>
      <c r="L30" s="25"/>
      <c r="M30" s="26"/>
      <c r="N30" s="27"/>
      <c r="O30" s="28"/>
      <c r="P30" s="29"/>
      <c r="Q30" s="195"/>
      <c r="R30" s="195"/>
      <c r="S30" s="195"/>
      <c r="T30" s="207"/>
      <c r="U30" s="207"/>
      <c r="V30" s="207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</row>
    <row r="31" spans="1:69" s="184" customFormat="1" ht="22.5" x14ac:dyDescent="0.15">
      <c r="A31" s="334" t="s">
        <v>38</v>
      </c>
      <c r="B31" s="182"/>
      <c r="C31" s="179" t="s">
        <v>433</v>
      </c>
      <c r="D31" s="180" t="s">
        <v>43</v>
      </c>
      <c r="E31" s="183">
        <f>E30</f>
        <v>19.399999999999999</v>
      </c>
      <c r="F31" s="26"/>
      <c r="G31" s="61"/>
      <c r="H31" s="26"/>
      <c r="I31" s="27"/>
      <c r="J31" s="27"/>
      <c r="K31" s="25"/>
      <c r="L31" s="25"/>
      <c r="M31" s="26"/>
      <c r="N31" s="27"/>
      <c r="O31" s="28"/>
      <c r="P31" s="29"/>
      <c r="Q31" s="195"/>
      <c r="R31" s="195"/>
      <c r="S31" s="195"/>
      <c r="T31" s="207"/>
      <c r="U31" s="207"/>
      <c r="V31" s="207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</row>
    <row r="32" spans="1:69" s="184" customFormat="1" ht="22.5" x14ac:dyDescent="0.15">
      <c r="A32" s="334"/>
      <c r="B32" s="182"/>
      <c r="C32" s="185" t="s">
        <v>697</v>
      </c>
      <c r="D32" s="180" t="s">
        <v>43</v>
      </c>
      <c r="E32" s="183">
        <f>ROUND(E31*1.1,2)</f>
        <v>21.34</v>
      </c>
      <c r="F32" s="26"/>
      <c r="G32" s="61"/>
      <c r="H32" s="26"/>
      <c r="I32" s="27"/>
      <c r="J32" s="27"/>
      <c r="K32" s="25"/>
      <c r="L32" s="25"/>
      <c r="M32" s="26"/>
      <c r="N32" s="27"/>
      <c r="O32" s="28"/>
      <c r="P32" s="29"/>
      <c r="Q32" s="195"/>
      <c r="R32" s="195"/>
      <c r="S32" s="195"/>
      <c r="T32" s="207"/>
      <c r="U32" s="207"/>
      <c r="V32" s="207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</row>
    <row r="33" spans="1:69" s="184" customFormat="1" ht="33.75" x14ac:dyDescent="0.15">
      <c r="A33" s="334"/>
      <c r="B33" s="182"/>
      <c r="C33" s="185" t="s">
        <v>434</v>
      </c>
      <c r="D33" s="180" t="s">
        <v>46</v>
      </c>
      <c r="E33" s="183">
        <f>ROUND(E31*6,0)</f>
        <v>116</v>
      </c>
      <c r="F33" s="26"/>
      <c r="G33" s="61"/>
      <c r="H33" s="26"/>
      <c r="I33" s="27"/>
      <c r="J33" s="27"/>
      <c r="K33" s="25"/>
      <c r="L33" s="25"/>
      <c r="M33" s="26"/>
      <c r="N33" s="27"/>
      <c r="O33" s="28"/>
      <c r="P33" s="29"/>
      <c r="Q33" s="195"/>
      <c r="R33" s="195"/>
      <c r="S33" s="195"/>
      <c r="T33" s="207"/>
      <c r="U33" s="207"/>
      <c r="V33" s="207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</row>
    <row r="34" spans="1:69" s="184" customFormat="1" ht="33.75" x14ac:dyDescent="0.15">
      <c r="A34" s="334" t="s">
        <v>39</v>
      </c>
      <c r="B34" s="182"/>
      <c r="C34" s="179" t="s">
        <v>422</v>
      </c>
      <c r="D34" s="180" t="s">
        <v>43</v>
      </c>
      <c r="E34" s="183">
        <v>3.23</v>
      </c>
      <c r="F34" s="26"/>
      <c r="G34" s="61"/>
      <c r="H34" s="26"/>
      <c r="I34" s="27"/>
      <c r="J34" s="27"/>
      <c r="K34" s="25"/>
      <c r="L34" s="25"/>
      <c r="M34" s="26"/>
      <c r="N34" s="27"/>
      <c r="O34" s="28"/>
      <c r="P34" s="29"/>
      <c r="Q34" s="195"/>
      <c r="R34" s="195"/>
      <c r="S34" s="195"/>
      <c r="T34" s="207"/>
      <c r="U34" s="207"/>
      <c r="V34" s="207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</row>
    <row r="35" spans="1:69" s="184" customFormat="1" ht="22.5" x14ac:dyDescent="0.15">
      <c r="A35" s="334"/>
      <c r="B35" s="182"/>
      <c r="C35" s="185" t="s">
        <v>423</v>
      </c>
      <c r="D35" s="180" t="s">
        <v>44</v>
      </c>
      <c r="E35" s="183">
        <v>0.3</v>
      </c>
      <c r="F35" s="26"/>
      <c r="G35" s="61"/>
      <c r="H35" s="26"/>
      <c r="I35" s="27"/>
      <c r="J35" s="27"/>
      <c r="K35" s="25"/>
      <c r="L35" s="25"/>
      <c r="M35" s="26"/>
      <c r="N35" s="27"/>
      <c r="O35" s="28"/>
      <c r="P35" s="29"/>
      <c r="Q35" s="195"/>
      <c r="R35" s="195"/>
      <c r="S35" s="195"/>
      <c r="T35" s="207"/>
      <c r="U35" s="207"/>
      <c r="V35" s="207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</row>
    <row r="36" spans="1:69" s="184" customFormat="1" ht="22.5" x14ac:dyDescent="0.15">
      <c r="A36" s="334"/>
      <c r="B36" s="182"/>
      <c r="C36" s="185" t="s">
        <v>424</v>
      </c>
      <c r="D36" s="180" t="s">
        <v>43</v>
      </c>
      <c r="E36" s="183">
        <f>ROUND(E34*1.2,2)</f>
        <v>3.88</v>
      </c>
      <c r="F36" s="26"/>
      <c r="G36" s="61"/>
      <c r="H36" s="26"/>
      <c r="I36" s="27"/>
      <c r="J36" s="27"/>
      <c r="K36" s="25"/>
      <c r="L36" s="25"/>
      <c r="M36" s="26"/>
      <c r="N36" s="27"/>
      <c r="O36" s="28"/>
      <c r="P36" s="29"/>
      <c r="Q36" s="195"/>
      <c r="R36" s="195"/>
      <c r="S36" s="195"/>
      <c r="T36" s="207"/>
      <c r="U36" s="207"/>
      <c r="V36" s="207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</row>
    <row r="37" spans="1:69" s="184" customFormat="1" ht="22.5" x14ac:dyDescent="0.15">
      <c r="A37" s="334"/>
      <c r="B37" s="182"/>
      <c r="C37" s="185" t="s">
        <v>421</v>
      </c>
      <c r="D37" s="180" t="s">
        <v>50</v>
      </c>
      <c r="E37" s="183">
        <f>ROUND(E34*7,2)</f>
        <v>22.61</v>
      </c>
      <c r="F37" s="26"/>
      <c r="G37" s="61"/>
      <c r="H37" s="26"/>
      <c r="I37" s="27"/>
      <c r="J37" s="27"/>
      <c r="K37" s="25"/>
      <c r="L37" s="25"/>
      <c r="M37" s="26"/>
      <c r="N37" s="27"/>
      <c r="O37" s="28"/>
      <c r="P37" s="29"/>
      <c r="Q37" s="195"/>
      <c r="R37" s="195"/>
      <c r="S37" s="195"/>
      <c r="T37" s="207"/>
      <c r="U37" s="207"/>
      <c r="V37" s="207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</row>
    <row r="38" spans="1:69" s="184" customFormat="1" ht="22.5" x14ac:dyDescent="0.15">
      <c r="A38" s="334" t="s">
        <v>40</v>
      </c>
      <c r="B38" s="182"/>
      <c r="C38" s="179" t="s">
        <v>425</v>
      </c>
      <c r="D38" s="180" t="s">
        <v>43</v>
      </c>
      <c r="E38" s="183">
        <f>E34</f>
        <v>3.23</v>
      </c>
      <c r="F38" s="26"/>
      <c r="G38" s="61"/>
      <c r="H38" s="26"/>
      <c r="I38" s="27"/>
      <c r="J38" s="27"/>
      <c r="K38" s="25"/>
      <c r="L38" s="25"/>
      <c r="M38" s="26"/>
      <c r="N38" s="27"/>
      <c r="O38" s="28"/>
      <c r="P38" s="29"/>
      <c r="Q38" s="195"/>
      <c r="R38" s="195"/>
      <c r="S38" s="195"/>
      <c r="T38" s="207"/>
      <c r="U38" s="207"/>
      <c r="V38" s="207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</row>
    <row r="39" spans="1:69" s="184" customFormat="1" ht="22.5" x14ac:dyDescent="0.15">
      <c r="A39" s="334"/>
      <c r="B39" s="182"/>
      <c r="C39" s="185" t="s">
        <v>426</v>
      </c>
      <c r="D39" s="180" t="s">
        <v>50</v>
      </c>
      <c r="E39" s="183">
        <f>ROUND(E38*0.3,2)</f>
        <v>0.97</v>
      </c>
      <c r="F39" s="26"/>
      <c r="G39" s="61"/>
      <c r="H39" s="26"/>
      <c r="I39" s="27"/>
      <c r="J39" s="27"/>
      <c r="K39" s="25"/>
      <c r="L39" s="25"/>
      <c r="M39" s="26"/>
      <c r="N39" s="27"/>
      <c r="O39" s="28"/>
      <c r="P39" s="29"/>
      <c r="Q39" s="195"/>
      <c r="R39" s="195"/>
      <c r="S39" s="195"/>
      <c r="T39" s="207"/>
      <c r="U39" s="207"/>
      <c r="V39" s="207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</row>
    <row r="40" spans="1:69" s="184" customFormat="1" ht="22.5" x14ac:dyDescent="0.15">
      <c r="A40" s="334" t="s">
        <v>313</v>
      </c>
      <c r="B40" s="182"/>
      <c r="C40" s="179" t="s">
        <v>428</v>
      </c>
      <c r="D40" s="180" t="s">
        <v>43</v>
      </c>
      <c r="E40" s="183">
        <f>E38</f>
        <v>3.23</v>
      </c>
      <c r="F40" s="26"/>
      <c r="G40" s="61"/>
      <c r="H40" s="26"/>
      <c r="I40" s="27"/>
      <c r="J40" s="27"/>
      <c r="K40" s="25"/>
      <c r="L40" s="25"/>
      <c r="M40" s="26"/>
      <c r="N40" s="27"/>
      <c r="O40" s="28"/>
      <c r="P40" s="29"/>
      <c r="Q40" s="195"/>
      <c r="R40" s="195"/>
      <c r="S40" s="195"/>
      <c r="T40" s="207"/>
      <c r="U40" s="207"/>
      <c r="V40" s="207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</row>
    <row r="41" spans="1:69" s="184" customFormat="1" ht="33.75" x14ac:dyDescent="0.15">
      <c r="A41" s="334"/>
      <c r="B41" s="182"/>
      <c r="C41" s="185" t="s">
        <v>429</v>
      </c>
      <c r="D41" s="180" t="s">
        <v>50</v>
      </c>
      <c r="E41" s="183">
        <f>ROUND(E40*3,2)</f>
        <v>9.69</v>
      </c>
      <c r="F41" s="26"/>
      <c r="G41" s="61"/>
      <c r="H41" s="26"/>
      <c r="I41" s="27"/>
      <c r="J41" s="27"/>
      <c r="K41" s="25"/>
      <c r="L41" s="25"/>
      <c r="M41" s="26"/>
      <c r="N41" s="27"/>
      <c r="O41" s="28"/>
      <c r="P41" s="29"/>
      <c r="Q41" s="195"/>
      <c r="R41" s="195"/>
      <c r="S41" s="195"/>
      <c r="T41" s="207"/>
      <c r="U41" s="207"/>
      <c r="V41" s="207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</row>
    <row r="42" spans="1:69" s="184" customFormat="1" ht="25.5" x14ac:dyDescent="0.15">
      <c r="A42" s="334"/>
      <c r="B42" s="176"/>
      <c r="C42" s="235" t="s">
        <v>418</v>
      </c>
      <c r="D42" s="188" t="s">
        <v>43</v>
      </c>
      <c r="E42" s="268">
        <v>45.4</v>
      </c>
      <c r="F42" s="26"/>
      <c r="G42" s="61"/>
      <c r="H42" s="26"/>
      <c r="I42" s="27"/>
      <c r="J42" s="27"/>
      <c r="K42" s="25"/>
      <c r="L42" s="25"/>
      <c r="M42" s="26"/>
      <c r="N42" s="27"/>
      <c r="O42" s="28"/>
      <c r="P42" s="29"/>
      <c r="Q42" s="195"/>
      <c r="R42" s="195"/>
      <c r="S42" s="195"/>
      <c r="T42" s="207"/>
      <c r="U42" s="207"/>
      <c r="V42" s="207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</row>
    <row r="43" spans="1:69" s="184" customFormat="1" ht="22.5" x14ac:dyDescent="0.15">
      <c r="A43" s="334" t="s">
        <v>316</v>
      </c>
      <c r="B43" s="186"/>
      <c r="C43" s="179" t="s">
        <v>432</v>
      </c>
      <c r="D43" s="180" t="s">
        <v>44</v>
      </c>
      <c r="E43" s="183">
        <v>14.3</v>
      </c>
      <c r="F43" s="26"/>
      <c r="G43" s="61"/>
      <c r="H43" s="26"/>
      <c r="I43" s="27"/>
      <c r="J43" s="27"/>
      <c r="K43" s="25"/>
      <c r="L43" s="25"/>
      <c r="M43" s="26"/>
      <c r="N43" s="27"/>
      <c r="O43" s="28"/>
      <c r="P43" s="29"/>
      <c r="Q43" s="195"/>
      <c r="R43" s="195"/>
      <c r="S43" s="195"/>
      <c r="T43" s="207"/>
      <c r="U43" s="207"/>
      <c r="V43" s="207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</row>
    <row r="44" spans="1:69" s="184" customFormat="1" ht="11.25" x14ac:dyDescent="0.15">
      <c r="A44" s="334"/>
      <c r="B44" s="186"/>
      <c r="C44" s="185" t="s">
        <v>431</v>
      </c>
      <c r="D44" s="180" t="s">
        <v>44</v>
      </c>
      <c r="E44" s="183">
        <f>ROUND(E43*1.1,2)</f>
        <v>15.73</v>
      </c>
      <c r="F44" s="26"/>
      <c r="G44" s="61"/>
      <c r="H44" s="26"/>
      <c r="I44" s="27"/>
      <c r="J44" s="27"/>
      <c r="K44" s="25"/>
      <c r="L44" s="25"/>
      <c r="M44" s="26"/>
      <c r="N44" s="27"/>
      <c r="O44" s="28"/>
      <c r="P44" s="29"/>
      <c r="Q44" s="195"/>
      <c r="R44" s="195"/>
      <c r="S44" s="195"/>
      <c r="T44" s="207"/>
      <c r="U44" s="207"/>
      <c r="V44" s="207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2"/>
      <c r="BQ44" s="102"/>
    </row>
    <row r="45" spans="1:69" s="184" customFormat="1" ht="11.25" x14ac:dyDescent="0.15">
      <c r="A45" s="334"/>
      <c r="B45" s="186"/>
      <c r="C45" s="185" t="s">
        <v>419</v>
      </c>
      <c r="D45" s="180" t="s">
        <v>44</v>
      </c>
      <c r="E45" s="183">
        <f>E44</f>
        <v>15.73</v>
      </c>
      <c r="F45" s="26"/>
      <c r="G45" s="61"/>
      <c r="H45" s="26"/>
      <c r="I45" s="27"/>
      <c r="J45" s="27"/>
      <c r="K45" s="25"/>
      <c r="L45" s="25"/>
      <c r="M45" s="26"/>
      <c r="N45" s="27"/>
      <c r="O45" s="28"/>
      <c r="P45" s="29"/>
      <c r="Q45" s="195"/>
      <c r="R45" s="195"/>
      <c r="S45" s="195"/>
      <c r="T45" s="207"/>
      <c r="U45" s="207"/>
      <c r="V45" s="207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</row>
    <row r="46" spans="1:69" s="184" customFormat="1" ht="22.5" x14ac:dyDescent="0.15">
      <c r="A46" s="334"/>
      <c r="B46" s="182"/>
      <c r="C46" s="185" t="s">
        <v>420</v>
      </c>
      <c r="D46" s="180" t="s">
        <v>44</v>
      </c>
      <c r="E46" s="183">
        <f>E43</f>
        <v>14.3</v>
      </c>
      <c r="F46" s="26"/>
      <c r="G46" s="61"/>
      <c r="H46" s="26"/>
      <c r="I46" s="27"/>
      <c r="J46" s="27"/>
      <c r="K46" s="25"/>
      <c r="L46" s="25"/>
      <c r="M46" s="26"/>
      <c r="N46" s="27"/>
      <c r="O46" s="28"/>
      <c r="P46" s="29"/>
      <c r="Q46" s="195"/>
      <c r="R46" s="195"/>
      <c r="S46" s="195"/>
      <c r="T46" s="207"/>
      <c r="U46" s="207"/>
      <c r="V46" s="207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</row>
    <row r="47" spans="1:69" s="184" customFormat="1" ht="22.5" x14ac:dyDescent="0.15">
      <c r="A47" s="334" t="s">
        <v>554</v>
      </c>
      <c r="B47" s="176"/>
      <c r="C47" s="179" t="s">
        <v>433</v>
      </c>
      <c r="D47" s="180" t="s">
        <v>43</v>
      </c>
      <c r="E47" s="183">
        <f>E42</f>
        <v>45.4</v>
      </c>
      <c r="F47" s="26"/>
      <c r="G47" s="61"/>
      <c r="H47" s="26"/>
      <c r="I47" s="27"/>
      <c r="J47" s="27"/>
      <c r="K47" s="25"/>
      <c r="L47" s="25"/>
      <c r="M47" s="26"/>
      <c r="N47" s="27"/>
      <c r="O47" s="28"/>
      <c r="P47" s="29"/>
      <c r="Q47" s="195"/>
      <c r="R47" s="195"/>
      <c r="S47" s="195"/>
      <c r="T47" s="207"/>
      <c r="U47" s="207"/>
      <c r="V47" s="207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</row>
    <row r="48" spans="1:69" s="184" customFormat="1" ht="22.5" x14ac:dyDescent="0.15">
      <c r="A48" s="334"/>
      <c r="B48" s="186"/>
      <c r="C48" s="185" t="s">
        <v>435</v>
      </c>
      <c r="D48" s="180" t="s">
        <v>43</v>
      </c>
      <c r="E48" s="183">
        <f>ROUND(E47*1.1,2)</f>
        <v>49.94</v>
      </c>
      <c r="F48" s="26"/>
      <c r="G48" s="61"/>
      <c r="H48" s="26"/>
      <c r="I48" s="27"/>
      <c r="J48" s="27"/>
      <c r="K48" s="25"/>
      <c r="L48" s="25"/>
      <c r="M48" s="26"/>
      <c r="N48" s="27"/>
      <c r="O48" s="28"/>
      <c r="P48" s="29"/>
      <c r="Q48" s="195"/>
      <c r="R48" s="195"/>
      <c r="S48" s="195"/>
      <c r="T48" s="207"/>
      <c r="U48" s="207"/>
      <c r="V48" s="207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</row>
    <row r="49" spans="1:69" s="184" customFormat="1" ht="22.5" x14ac:dyDescent="0.15">
      <c r="A49" s="334"/>
      <c r="B49" s="186"/>
      <c r="C49" s="185" t="s">
        <v>421</v>
      </c>
      <c r="D49" s="180" t="s">
        <v>50</v>
      </c>
      <c r="E49" s="183">
        <f>ROUND(E47*8,2)</f>
        <v>363.2</v>
      </c>
      <c r="F49" s="26"/>
      <c r="G49" s="61"/>
      <c r="H49" s="26"/>
      <c r="I49" s="27"/>
      <c r="J49" s="27"/>
      <c r="K49" s="25"/>
      <c r="L49" s="25"/>
      <c r="M49" s="26"/>
      <c r="N49" s="27"/>
      <c r="O49" s="28"/>
      <c r="P49" s="29"/>
      <c r="Q49" s="195"/>
      <c r="R49" s="195"/>
      <c r="S49" s="195"/>
      <c r="T49" s="207"/>
      <c r="U49" s="207"/>
      <c r="V49" s="207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</row>
    <row r="50" spans="1:69" s="184" customFormat="1" ht="33.75" x14ac:dyDescent="0.15">
      <c r="A50" s="334"/>
      <c r="B50" s="186"/>
      <c r="C50" s="185" t="s">
        <v>434</v>
      </c>
      <c r="D50" s="180" t="s">
        <v>46</v>
      </c>
      <c r="E50" s="183">
        <f>ROUND(E47*6,0)</f>
        <v>272</v>
      </c>
      <c r="F50" s="26"/>
      <c r="G50" s="61"/>
      <c r="H50" s="26"/>
      <c r="I50" s="27"/>
      <c r="J50" s="27"/>
      <c r="K50" s="25"/>
      <c r="L50" s="25"/>
      <c r="M50" s="26"/>
      <c r="N50" s="27"/>
      <c r="O50" s="28"/>
      <c r="P50" s="29"/>
      <c r="Q50" s="195"/>
      <c r="R50" s="195"/>
      <c r="S50" s="195"/>
      <c r="T50" s="207"/>
      <c r="U50" s="207"/>
      <c r="V50" s="207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</row>
    <row r="51" spans="1:69" s="184" customFormat="1" ht="33.75" x14ac:dyDescent="0.15">
      <c r="A51" s="334" t="s">
        <v>555</v>
      </c>
      <c r="B51" s="186"/>
      <c r="C51" s="179" t="s">
        <v>422</v>
      </c>
      <c r="D51" s="180" t="s">
        <v>43</v>
      </c>
      <c r="E51" s="183">
        <f>E47</f>
        <v>45.4</v>
      </c>
      <c r="F51" s="26"/>
      <c r="G51" s="61"/>
      <c r="H51" s="26"/>
      <c r="I51" s="27"/>
      <c r="J51" s="27"/>
      <c r="K51" s="25"/>
      <c r="L51" s="25"/>
      <c r="M51" s="26"/>
      <c r="N51" s="27"/>
      <c r="O51" s="28"/>
      <c r="P51" s="29"/>
      <c r="Q51" s="195"/>
      <c r="R51" s="195"/>
      <c r="S51" s="195"/>
      <c r="T51" s="207"/>
      <c r="U51" s="207"/>
      <c r="V51" s="207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</row>
    <row r="52" spans="1:69" s="184" customFormat="1" ht="22.5" x14ac:dyDescent="0.15">
      <c r="A52" s="334"/>
      <c r="B52" s="186"/>
      <c r="C52" s="185" t="s">
        <v>423</v>
      </c>
      <c r="D52" s="180" t="s">
        <v>44</v>
      </c>
      <c r="E52" s="183">
        <f>ROUND(E51*0.2,2)</f>
        <v>9.08</v>
      </c>
      <c r="F52" s="26"/>
      <c r="G52" s="61"/>
      <c r="H52" s="26"/>
      <c r="I52" s="27"/>
      <c r="J52" s="27"/>
      <c r="K52" s="25"/>
      <c r="L52" s="25"/>
      <c r="M52" s="26"/>
      <c r="N52" s="27"/>
      <c r="O52" s="28"/>
      <c r="P52" s="29"/>
      <c r="Q52" s="195"/>
      <c r="R52" s="195"/>
      <c r="S52" s="195"/>
      <c r="T52" s="207"/>
      <c r="U52" s="207"/>
      <c r="V52" s="207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</row>
    <row r="53" spans="1:69" s="230" customFormat="1" ht="22.5" x14ac:dyDescent="0.15">
      <c r="A53" s="225"/>
      <c r="B53" s="226"/>
      <c r="C53" s="185" t="s">
        <v>424</v>
      </c>
      <c r="D53" s="180" t="s">
        <v>43</v>
      </c>
      <c r="E53" s="183">
        <f>ROUND(E51*1.2,2)</f>
        <v>54.48</v>
      </c>
      <c r="F53" s="26"/>
      <c r="G53" s="61"/>
      <c r="H53" s="26"/>
      <c r="I53" s="27"/>
      <c r="J53" s="27"/>
      <c r="K53" s="25"/>
      <c r="L53" s="25"/>
      <c r="M53" s="26"/>
      <c r="N53" s="27"/>
      <c r="O53" s="28"/>
      <c r="P53" s="29"/>
      <c r="Q53" s="195"/>
      <c r="R53" s="195"/>
      <c r="S53" s="195"/>
      <c r="T53" s="207"/>
      <c r="U53" s="207"/>
      <c r="V53" s="207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</row>
    <row r="54" spans="1:69" s="220" customFormat="1" ht="22.5" x14ac:dyDescent="0.2">
      <c r="A54" s="334"/>
      <c r="B54" s="182"/>
      <c r="C54" s="185" t="s">
        <v>421</v>
      </c>
      <c r="D54" s="180" t="s">
        <v>50</v>
      </c>
      <c r="E54" s="183">
        <f>ROUND(E51*7,2)</f>
        <v>317.8</v>
      </c>
      <c r="F54" s="26"/>
      <c r="G54" s="61"/>
      <c r="H54" s="26"/>
      <c r="I54" s="27"/>
      <c r="J54" s="27"/>
      <c r="K54" s="25"/>
      <c r="L54" s="25"/>
      <c r="M54" s="26"/>
      <c r="N54" s="27"/>
      <c r="O54" s="28"/>
      <c r="P54" s="29"/>
      <c r="Q54" s="195"/>
      <c r="R54" s="195"/>
      <c r="S54" s="195"/>
      <c r="T54" s="207"/>
      <c r="U54" s="207"/>
      <c r="V54" s="207"/>
      <c r="W54" s="207"/>
      <c r="X54" s="207"/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</row>
    <row r="55" spans="1:69" s="220" customFormat="1" ht="22.5" x14ac:dyDescent="0.2">
      <c r="A55" s="334" t="s">
        <v>556</v>
      </c>
      <c r="B55" s="182"/>
      <c r="C55" s="179" t="s">
        <v>425</v>
      </c>
      <c r="D55" s="180" t="s">
        <v>43</v>
      </c>
      <c r="E55" s="183">
        <f>E51</f>
        <v>45.4</v>
      </c>
      <c r="F55" s="26"/>
      <c r="G55" s="61"/>
      <c r="H55" s="26"/>
      <c r="I55" s="27"/>
      <c r="J55" s="27"/>
      <c r="K55" s="25"/>
      <c r="L55" s="25"/>
      <c r="M55" s="26"/>
      <c r="N55" s="27"/>
      <c r="O55" s="28"/>
      <c r="P55" s="29"/>
      <c r="Q55" s="195"/>
      <c r="R55" s="195"/>
      <c r="S55" s="195"/>
      <c r="T55" s="207"/>
      <c r="U55" s="207"/>
      <c r="V55" s="207"/>
      <c r="W55" s="207"/>
      <c r="X55" s="207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</row>
    <row r="56" spans="1:69" s="220" customFormat="1" ht="22.5" x14ac:dyDescent="0.2">
      <c r="A56" s="334"/>
      <c r="B56" s="186"/>
      <c r="C56" s="185" t="s">
        <v>426</v>
      </c>
      <c r="D56" s="180" t="s">
        <v>50</v>
      </c>
      <c r="E56" s="183">
        <f>ROUND(E55*0.3,2)</f>
        <v>13.62</v>
      </c>
      <c r="F56" s="26"/>
      <c r="G56" s="61"/>
      <c r="H56" s="26"/>
      <c r="I56" s="27"/>
      <c r="J56" s="27"/>
      <c r="K56" s="25"/>
      <c r="L56" s="25"/>
      <c r="M56" s="26"/>
      <c r="N56" s="27"/>
      <c r="O56" s="28"/>
      <c r="P56" s="29"/>
      <c r="Q56" s="195"/>
      <c r="R56" s="195"/>
      <c r="S56" s="195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7"/>
      <c r="AE56" s="207"/>
      <c r="AF56" s="207"/>
      <c r="AG56" s="207"/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</row>
    <row r="57" spans="1:69" s="220" customFormat="1" x14ac:dyDescent="0.2">
      <c r="A57" s="334"/>
      <c r="B57" s="182"/>
      <c r="C57" s="185" t="s">
        <v>427</v>
      </c>
      <c r="D57" s="180" t="s">
        <v>50</v>
      </c>
      <c r="E57" s="183">
        <f>E56</f>
        <v>13.62</v>
      </c>
      <c r="F57" s="26"/>
      <c r="G57" s="61"/>
      <c r="H57" s="26"/>
      <c r="I57" s="27"/>
      <c r="J57" s="27"/>
      <c r="K57" s="25"/>
      <c r="L57" s="25"/>
      <c r="M57" s="26"/>
      <c r="N57" s="27"/>
      <c r="O57" s="28"/>
      <c r="P57" s="29"/>
      <c r="Q57" s="195"/>
      <c r="R57" s="195"/>
      <c r="S57" s="195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</row>
    <row r="58" spans="1:69" s="220" customFormat="1" ht="22.5" x14ac:dyDescent="0.2">
      <c r="A58" s="334" t="s">
        <v>557</v>
      </c>
      <c r="B58" s="182"/>
      <c r="C58" s="179" t="s">
        <v>428</v>
      </c>
      <c r="D58" s="180" t="s">
        <v>43</v>
      </c>
      <c r="E58" s="183">
        <f>E55</f>
        <v>45.4</v>
      </c>
      <c r="F58" s="26"/>
      <c r="G58" s="61"/>
      <c r="H58" s="26"/>
      <c r="I58" s="27"/>
      <c r="J58" s="27"/>
      <c r="K58" s="25"/>
      <c r="L58" s="25"/>
      <c r="M58" s="26"/>
      <c r="N58" s="27"/>
      <c r="O58" s="28"/>
      <c r="P58" s="29"/>
      <c r="Q58" s="195"/>
      <c r="R58" s="195"/>
      <c r="S58" s="195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19"/>
      <c r="BN58" s="219"/>
      <c r="BO58" s="219"/>
      <c r="BP58" s="219"/>
    </row>
    <row r="59" spans="1:69" s="220" customFormat="1" ht="33.75" x14ac:dyDescent="0.2">
      <c r="A59" s="334"/>
      <c r="B59" s="186"/>
      <c r="C59" s="185" t="s">
        <v>429</v>
      </c>
      <c r="D59" s="180" t="s">
        <v>50</v>
      </c>
      <c r="E59" s="183">
        <f>ROUND(E58*3,2)</f>
        <v>136.19999999999999</v>
      </c>
      <c r="F59" s="26"/>
      <c r="G59" s="61"/>
      <c r="H59" s="26"/>
      <c r="I59" s="27"/>
      <c r="J59" s="27"/>
      <c r="K59" s="25"/>
      <c r="L59" s="25"/>
      <c r="M59" s="26"/>
      <c r="N59" s="27"/>
      <c r="O59" s="28"/>
      <c r="P59" s="29"/>
      <c r="Q59" s="195"/>
      <c r="R59" s="195"/>
      <c r="S59" s="195"/>
      <c r="T59" s="207"/>
      <c r="U59" s="207"/>
      <c r="V59" s="207"/>
      <c r="W59" s="207"/>
      <c r="X59" s="207"/>
      <c r="Y59" s="207"/>
      <c r="Z59" s="207"/>
      <c r="AA59" s="207"/>
      <c r="AB59" s="207"/>
      <c r="AC59" s="207"/>
      <c r="AD59" s="207"/>
      <c r="AE59" s="207"/>
      <c r="AF59" s="207"/>
      <c r="AG59" s="207"/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</row>
    <row r="60" spans="1:69" s="220" customFormat="1" ht="15" thickBot="1" x14ac:dyDescent="0.25">
      <c r="A60" s="334"/>
      <c r="B60" s="182"/>
      <c r="C60" s="185" t="s">
        <v>430</v>
      </c>
      <c r="D60" s="180" t="s">
        <v>50</v>
      </c>
      <c r="E60" s="183">
        <f>E59</f>
        <v>136.19999999999999</v>
      </c>
      <c r="F60" s="26"/>
      <c r="G60" s="61"/>
      <c r="H60" s="26"/>
      <c r="I60" s="27"/>
      <c r="J60" s="27"/>
      <c r="K60" s="25"/>
      <c r="L60" s="25"/>
      <c r="M60" s="26"/>
      <c r="N60" s="27"/>
      <c r="O60" s="28"/>
      <c r="P60" s="29"/>
      <c r="Q60" s="195"/>
      <c r="R60" s="195"/>
      <c r="S60" s="195"/>
      <c r="T60" s="207"/>
      <c r="U60" s="207"/>
      <c r="V60" s="207"/>
      <c r="W60" s="207"/>
      <c r="X60" s="207"/>
      <c r="Y60" s="207"/>
      <c r="Z60" s="207"/>
      <c r="AA60" s="207"/>
      <c r="AB60" s="207"/>
      <c r="AC60" s="207"/>
      <c r="AD60" s="207"/>
      <c r="AE60" s="207"/>
      <c r="AF60" s="207"/>
      <c r="AG60" s="207"/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</row>
    <row r="61" spans="1:69" ht="15" customHeight="1" thickBo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2" t="s">
        <v>130</v>
      </c>
      <c r="L61" s="33">
        <f>ROUND(SUM(L15:L60),2)</f>
        <v>0</v>
      </c>
      <c r="M61" s="33">
        <f>ROUND(SUM(M15:M60),2)</f>
        <v>0</v>
      </c>
      <c r="N61" s="34">
        <f>ROUND(SUM(N15:N60),2)</f>
        <v>0</v>
      </c>
      <c r="O61" s="35">
        <f>ROUND(SUM(O15:O60),2)</f>
        <v>0</v>
      </c>
      <c r="P61" s="36">
        <f>ROUND(SUM(P15:P60),2)</f>
        <v>0</v>
      </c>
    </row>
    <row r="62" spans="1:69" ht="34.9" customHeight="1" x14ac:dyDescent="0.2">
      <c r="A62" s="37"/>
      <c r="B62" s="7"/>
      <c r="C62" s="38"/>
      <c r="D62" s="39"/>
      <c r="E62" s="5"/>
      <c r="F62" s="5"/>
      <c r="G62" s="5"/>
      <c r="H62" s="7"/>
      <c r="I62" s="7"/>
      <c r="J62" s="7"/>
      <c r="K62" s="7"/>
      <c r="L62" s="7"/>
      <c r="M62" s="7"/>
      <c r="N62" s="7"/>
      <c r="O62" s="7"/>
      <c r="P62" s="7"/>
    </row>
    <row r="63" spans="1:69" x14ac:dyDescent="0.2">
      <c r="A63" s="40"/>
      <c r="B63" s="41"/>
      <c r="C63" s="41" t="s">
        <v>10</v>
      </c>
      <c r="D63" s="42"/>
      <c r="E63" s="43"/>
      <c r="F63" s="44"/>
      <c r="G63" s="42"/>
      <c r="H63" s="45">
        <f>Kopsavilkums!C$43</f>
        <v>0</v>
      </c>
      <c r="I63" s="46" t="str">
        <f>Kopsavilkums!D$43</f>
        <v>datums</v>
      </c>
      <c r="J63" s="46"/>
      <c r="K63" s="41" t="s">
        <v>11</v>
      </c>
      <c r="L63" s="47"/>
      <c r="M63" s="44"/>
      <c r="N63" s="44"/>
      <c r="O63" s="45">
        <f>Kopsavilkums!C$48</f>
        <v>0</v>
      </c>
      <c r="P63" s="46" t="str">
        <f>Kopsavilkums!D$48</f>
        <v>datums</v>
      </c>
    </row>
    <row r="64" spans="1:69" x14ac:dyDescent="0.2">
      <c r="A64" s="48"/>
      <c r="B64" s="49"/>
      <c r="C64" s="50"/>
      <c r="D64" s="407" t="s">
        <v>12</v>
      </c>
      <c r="E64" s="407"/>
      <c r="F64" s="407"/>
      <c r="G64" s="407"/>
      <c r="H64" s="407"/>
      <c r="I64" s="7"/>
      <c r="J64" s="7"/>
      <c r="K64" s="7"/>
      <c r="L64" s="407" t="s">
        <v>12</v>
      </c>
      <c r="M64" s="407"/>
      <c r="N64" s="407"/>
      <c r="O64" s="407"/>
      <c r="P64" s="7"/>
    </row>
    <row r="65" spans="1:69" s="54" customFormat="1" x14ac:dyDescent="0.2">
      <c r="A65" s="37"/>
      <c r="B65" s="7"/>
      <c r="C65" s="38"/>
      <c r="D65" s="5"/>
      <c r="E65" s="5"/>
      <c r="F65" s="5"/>
      <c r="G65" s="5"/>
      <c r="H65" s="7"/>
      <c r="I65" s="7"/>
      <c r="J65" s="7"/>
      <c r="K65" s="7"/>
      <c r="L65" s="7"/>
      <c r="M65" s="7"/>
      <c r="N65" s="7"/>
      <c r="O65" s="7"/>
      <c r="P65" s="7"/>
      <c r="Q65" s="195"/>
      <c r="R65" s="195"/>
      <c r="S65" s="195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BO65" s="4"/>
      <c r="BP65" s="4"/>
      <c r="BQ65" s="4"/>
    </row>
    <row r="66" spans="1:69" s="54" customFormat="1" x14ac:dyDescent="0.2">
      <c r="A66" s="51"/>
      <c r="B66" s="46"/>
      <c r="C66" s="52"/>
      <c r="D66" s="52" t="str">
        <f>Kopsavilkums!B$46</f>
        <v>-</v>
      </c>
      <c r="E66" s="5"/>
      <c r="F66" s="5"/>
      <c r="G66" s="5"/>
      <c r="H66" s="7"/>
      <c r="I66" s="7"/>
      <c r="J66" s="7"/>
      <c r="K66" s="7"/>
      <c r="L66" s="52" t="str">
        <f>Kopsavilkums!B$51</f>
        <v>Sert.Nr.</v>
      </c>
      <c r="M66" s="53"/>
      <c r="N66" s="7"/>
      <c r="O66" s="7"/>
      <c r="P66" s="7"/>
      <c r="Q66" s="195"/>
      <c r="R66" s="195"/>
      <c r="S66" s="195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BO66" s="4"/>
      <c r="BP66" s="4"/>
      <c r="BQ66" s="4"/>
    </row>
    <row r="67" spans="1:69" s="54" customFormat="1" x14ac:dyDescent="0.25">
      <c r="Q67" s="195"/>
      <c r="R67" s="195"/>
      <c r="S67" s="195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</row>
    <row r="68" spans="1:69" s="54" customFormat="1" x14ac:dyDescent="0.25">
      <c r="Q68" s="195"/>
      <c r="R68" s="195"/>
      <c r="S68" s="195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</row>
    <row r="69" spans="1:69" s="54" customFormat="1" x14ac:dyDescent="0.25">
      <c r="Q69" s="195"/>
      <c r="R69" s="195"/>
      <c r="S69" s="195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</row>
    <row r="70" spans="1:69" s="54" customFormat="1" x14ac:dyDescent="0.25">
      <c r="Q70" s="195"/>
      <c r="R70" s="195"/>
      <c r="S70" s="195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</row>
    <row r="71" spans="1:69" s="54" customFormat="1" x14ac:dyDescent="0.25">
      <c r="Q71" s="195"/>
      <c r="R71" s="195"/>
      <c r="S71" s="195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</row>
    <row r="72" spans="1:69" s="54" customFormat="1" x14ac:dyDescent="0.25">
      <c r="Q72" s="195"/>
      <c r="R72" s="195"/>
      <c r="S72" s="195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</row>
    <row r="73" spans="1:69" s="54" customFormat="1" x14ac:dyDescent="0.25">
      <c r="Q73" s="195"/>
      <c r="R73" s="195"/>
      <c r="S73" s="195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</row>
    <row r="74" spans="1:69" s="54" customFormat="1" x14ac:dyDescent="0.25">
      <c r="Q74" s="195"/>
      <c r="R74" s="195"/>
      <c r="S74" s="195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</row>
    <row r="75" spans="1:69" s="54" customFormat="1" x14ac:dyDescent="0.25">
      <c r="Q75" s="195"/>
      <c r="R75" s="195"/>
      <c r="S75" s="195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</row>
    <row r="76" spans="1:69" s="54" customFormat="1" x14ac:dyDescent="0.25">
      <c r="Q76" s="195"/>
      <c r="R76" s="195"/>
      <c r="S76" s="195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</row>
    <row r="77" spans="1:69" s="54" customFormat="1" x14ac:dyDescent="0.25">
      <c r="Q77" s="195"/>
      <c r="R77" s="195"/>
      <c r="S77" s="195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</row>
    <row r="78" spans="1:69" s="54" customFormat="1" x14ac:dyDescent="0.25">
      <c r="Q78" s="195"/>
      <c r="R78" s="195"/>
      <c r="S78" s="195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</row>
    <row r="79" spans="1:69" s="54" customFormat="1" x14ac:dyDescent="0.25">
      <c r="Q79" s="195"/>
      <c r="R79" s="195"/>
      <c r="S79" s="195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</row>
    <row r="80" spans="1:69" s="54" customFormat="1" x14ac:dyDescent="0.25">
      <c r="Q80" s="195"/>
      <c r="R80" s="195"/>
      <c r="S80" s="195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</row>
    <row r="81" spans="17:45" s="54" customFormat="1" x14ac:dyDescent="0.25">
      <c r="Q81" s="195"/>
      <c r="R81" s="195"/>
      <c r="S81" s="195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</row>
    <row r="82" spans="17:45" s="54" customFormat="1" x14ac:dyDescent="0.25">
      <c r="Q82" s="195"/>
      <c r="R82" s="195"/>
      <c r="S82" s="195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</row>
    <row r="83" spans="17:45" s="54" customFormat="1" x14ac:dyDescent="0.25">
      <c r="Q83" s="195"/>
      <c r="R83" s="195"/>
      <c r="S83" s="195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</row>
    <row r="84" spans="17:45" s="54" customFormat="1" x14ac:dyDescent="0.25">
      <c r="Q84" s="195"/>
      <c r="R84" s="195"/>
      <c r="S84" s="195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</row>
    <row r="85" spans="17:45" s="54" customFormat="1" x14ac:dyDescent="0.25">
      <c r="Q85" s="195"/>
      <c r="R85" s="195"/>
      <c r="S85" s="195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</row>
    <row r="86" spans="17:45" s="54" customFormat="1" x14ac:dyDescent="0.25">
      <c r="Q86" s="195"/>
      <c r="R86" s="195"/>
      <c r="S86" s="195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</row>
    <row r="87" spans="17:45" s="54" customFormat="1" x14ac:dyDescent="0.25">
      <c r="Q87" s="195"/>
      <c r="R87" s="195"/>
      <c r="S87" s="195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</row>
    <row r="88" spans="17:45" s="54" customFormat="1" x14ac:dyDescent="0.25">
      <c r="Q88" s="195"/>
      <c r="R88" s="195"/>
      <c r="S88" s="195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</row>
    <row r="89" spans="17:45" s="54" customFormat="1" x14ac:dyDescent="0.25">
      <c r="Q89" s="195"/>
      <c r="R89" s="195"/>
      <c r="S89" s="195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</row>
    <row r="90" spans="17:45" s="54" customFormat="1" x14ac:dyDescent="0.25">
      <c r="Q90" s="195"/>
      <c r="R90" s="195"/>
      <c r="S90" s="195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</row>
    <row r="91" spans="17:45" s="54" customFormat="1" x14ac:dyDescent="0.25">
      <c r="Q91" s="195"/>
      <c r="R91" s="195"/>
      <c r="S91" s="195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</row>
    <row r="92" spans="17:45" s="54" customFormat="1" x14ac:dyDescent="0.25">
      <c r="Q92" s="195"/>
      <c r="R92" s="195"/>
      <c r="S92" s="195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</row>
    <row r="93" spans="17:45" s="54" customFormat="1" x14ac:dyDescent="0.25">
      <c r="Q93" s="195"/>
      <c r="R93" s="195"/>
      <c r="S93" s="195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</row>
    <row r="94" spans="17:45" s="54" customFormat="1" x14ac:dyDescent="0.25">
      <c r="Q94" s="195"/>
      <c r="R94" s="195"/>
      <c r="S94" s="195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</row>
    <row r="95" spans="17:45" s="54" customFormat="1" x14ac:dyDescent="0.25">
      <c r="Q95" s="195"/>
      <c r="R95" s="195"/>
      <c r="S95" s="195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</row>
    <row r="96" spans="17:45" s="54" customFormat="1" x14ac:dyDescent="0.25">
      <c r="Q96" s="195"/>
      <c r="R96" s="195"/>
      <c r="S96" s="195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</row>
    <row r="97" spans="17:45" s="54" customFormat="1" x14ac:dyDescent="0.25">
      <c r="Q97" s="195"/>
      <c r="R97" s="195"/>
      <c r="S97" s="195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</row>
    <row r="98" spans="17:45" s="54" customFormat="1" x14ac:dyDescent="0.25">
      <c r="Q98" s="195"/>
      <c r="R98" s="195"/>
      <c r="S98" s="195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</row>
    <row r="99" spans="17:45" s="54" customFormat="1" x14ac:dyDescent="0.25">
      <c r="Q99" s="195"/>
      <c r="R99" s="195"/>
      <c r="S99" s="195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</row>
    <row r="100" spans="17:45" s="54" customFormat="1" x14ac:dyDescent="0.25">
      <c r="Q100" s="195"/>
      <c r="R100" s="195"/>
      <c r="S100" s="195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</row>
    <row r="101" spans="17:45" s="54" customFormat="1" x14ac:dyDescent="0.25">
      <c r="Q101" s="195"/>
      <c r="R101" s="195"/>
      <c r="S101" s="195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</row>
    <row r="102" spans="17:45" s="54" customFormat="1" x14ac:dyDescent="0.25">
      <c r="Q102" s="195"/>
      <c r="R102" s="195"/>
      <c r="S102" s="195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</row>
    <row r="103" spans="17:45" s="54" customFormat="1" x14ac:dyDescent="0.25">
      <c r="Q103" s="195"/>
      <c r="R103" s="195"/>
      <c r="S103" s="195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</row>
    <row r="104" spans="17:45" s="54" customFormat="1" x14ac:dyDescent="0.25">
      <c r="Q104" s="195"/>
      <c r="R104" s="195"/>
      <c r="S104" s="195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</row>
    <row r="105" spans="17:45" s="54" customFormat="1" x14ac:dyDescent="0.25">
      <c r="Q105" s="195"/>
      <c r="R105" s="195"/>
      <c r="S105" s="195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</row>
    <row r="106" spans="17:45" s="54" customFormat="1" x14ac:dyDescent="0.25">
      <c r="Q106" s="195"/>
      <c r="R106" s="195"/>
      <c r="S106" s="195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</row>
    <row r="107" spans="17:45" s="54" customFormat="1" x14ac:dyDescent="0.25">
      <c r="Q107" s="195"/>
      <c r="R107" s="195"/>
      <c r="S107" s="195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</row>
    <row r="108" spans="17:45" s="54" customFormat="1" x14ac:dyDescent="0.25">
      <c r="Q108" s="195"/>
      <c r="R108" s="195"/>
      <c r="S108" s="195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</row>
    <row r="109" spans="17:45" s="54" customFormat="1" x14ac:dyDescent="0.25">
      <c r="Q109" s="195"/>
      <c r="R109" s="195"/>
      <c r="S109" s="195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</row>
    <row r="110" spans="17:45" s="54" customFormat="1" x14ac:dyDescent="0.25">
      <c r="Q110" s="195"/>
      <c r="R110" s="195"/>
      <c r="S110" s="195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</row>
    <row r="111" spans="17:45" s="54" customFormat="1" x14ac:dyDescent="0.25">
      <c r="Q111" s="195"/>
      <c r="R111" s="195"/>
      <c r="S111" s="195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</row>
    <row r="112" spans="17:45" s="54" customFormat="1" x14ac:dyDescent="0.25">
      <c r="Q112" s="195"/>
      <c r="R112" s="195"/>
      <c r="S112" s="195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</row>
    <row r="113" spans="17:45" s="54" customFormat="1" x14ac:dyDescent="0.25">
      <c r="Q113" s="195"/>
      <c r="R113" s="195"/>
      <c r="S113" s="195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</row>
    <row r="114" spans="17:45" s="54" customFormat="1" x14ac:dyDescent="0.25">
      <c r="Q114" s="195"/>
      <c r="R114" s="195"/>
      <c r="S114" s="195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</row>
    <row r="115" spans="17:45" s="54" customFormat="1" x14ac:dyDescent="0.25">
      <c r="Q115" s="195"/>
      <c r="R115" s="195"/>
      <c r="S115" s="195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</row>
    <row r="116" spans="17:45" s="54" customFormat="1" x14ac:dyDescent="0.25">
      <c r="Q116" s="195"/>
      <c r="R116" s="195"/>
      <c r="S116" s="195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</row>
    <row r="117" spans="17:45" s="54" customFormat="1" x14ac:dyDescent="0.25">
      <c r="Q117" s="195"/>
      <c r="R117" s="195"/>
      <c r="S117" s="195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</row>
    <row r="118" spans="17:45" s="54" customFormat="1" x14ac:dyDescent="0.25">
      <c r="Q118" s="195"/>
      <c r="R118" s="195"/>
      <c r="S118" s="195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</row>
    <row r="119" spans="17:45" s="54" customFormat="1" x14ac:dyDescent="0.25">
      <c r="Q119" s="195"/>
      <c r="R119" s="195"/>
      <c r="S119" s="195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</row>
    <row r="120" spans="17:45" s="54" customFormat="1" x14ac:dyDescent="0.25">
      <c r="Q120" s="195"/>
      <c r="R120" s="195"/>
      <c r="S120" s="195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</row>
    <row r="121" spans="17:45" s="54" customFormat="1" x14ac:dyDescent="0.25">
      <c r="Q121" s="195"/>
      <c r="R121" s="195"/>
      <c r="S121" s="195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</row>
    <row r="122" spans="17:45" s="54" customFormat="1" x14ac:dyDescent="0.25">
      <c r="Q122" s="195"/>
      <c r="R122" s="195"/>
      <c r="S122" s="195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</row>
    <row r="123" spans="17:45" s="54" customFormat="1" x14ac:dyDescent="0.25">
      <c r="Q123" s="195"/>
      <c r="R123" s="195"/>
      <c r="S123" s="195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</row>
    <row r="124" spans="17:45" s="54" customFormat="1" x14ac:dyDescent="0.25">
      <c r="Q124" s="195"/>
      <c r="R124" s="195"/>
      <c r="S124" s="195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</row>
    <row r="125" spans="17:45" s="54" customFormat="1" x14ac:dyDescent="0.25">
      <c r="Q125" s="195"/>
      <c r="R125" s="195"/>
      <c r="S125" s="195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</row>
    <row r="126" spans="17:45" s="54" customFormat="1" x14ac:dyDescent="0.25">
      <c r="Q126" s="195"/>
      <c r="R126" s="195"/>
      <c r="S126" s="195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</row>
    <row r="127" spans="17:45" s="54" customFormat="1" x14ac:dyDescent="0.25">
      <c r="Q127" s="195"/>
      <c r="R127" s="195"/>
      <c r="S127" s="195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</row>
    <row r="128" spans="17:45" s="54" customFormat="1" x14ac:dyDescent="0.25">
      <c r="Q128" s="195"/>
      <c r="R128" s="195"/>
      <c r="S128" s="195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</row>
    <row r="129" spans="17:45" s="54" customFormat="1" x14ac:dyDescent="0.25">
      <c r="Q129" s="195"/>
      <c r="R129" s="195"/>
      <c r="S129" s="195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</row>
    <row r="130" spans="17:45" s="54" customFormat="1" x14ac:dyDescent="0.25">
      <c r="Q130" s="195"/>
      <c r="R130" s="195"/>
      <c r="S130" s="195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</row>
    <row r="131" spans="17:45" s="54" customFormat="1" x14ac:dyDescent="0.25">
      <c r="Q131" s="195"/>
      <c r="R131" s="195"/>
      <c r="S131" s="195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</row>
    <row r="132" spans="17:45" s="54" customFormat="1" x14ac:dyDescent="0.25">
      <c r="Q132" s="195"/>
      <c r="R132" s="195"/>
      <c r="S132" s="195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</row>
    <row r="133" spans="17:45" s="54" customFormat="1" x14ac:dyDescent="0.25">
      <c r="Q133" s="195"/>
      <c r="R133" s="195"/>
      <c r="S133" s="195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</row>
    <row r="134" spans="17:45" s="54" customFormat="1" x14ac:dyDescent="0.25">
      <c r="Q134" s="195"/>
      <c r="R134" s="195"/>
      <c r="S134" s="195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</row>
    <row r="135" spans="17:45" s="54" customFormat="1" x14ac:dyDescent="0.25">
      <c r="Q135" s="195"/>
      <c r="R135" s="195"/>
      <c r="S135" s="195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</row>
    <row r="136" spans="17:45" s="54" customFormat="1" x14ac:dyDescent="0.25">
      <c r="Q136" s="195"/>
      <c r="R136" s="195"/>
      <c r="S136" s="195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</row>
    <row r="137" spans="17:45" s="54" customFormat="1" x14ac:dyDescent="0.25">
      <c r="Q137" s="195"/>
      <c r="R137" s="195"/>
      <c r="S137" s="195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</row>
    <row r="138" spans="17:45" s="54" customFormat="1" x14ac:dyDescent="0.25">
      <c r="Q138" s="195"/>
      <c r="R138" s="195"/>
      <c r="S138" s="195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</row>
    <row r="139" spans="17:45" s="54" customFormat="1" x14ac:dyDescent="0.25">
      <c r="Q139" s="195"/>
      <c r="R139" s="195"/>
      <c r="S139" s="195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</row>
    <row r="140" spans="17:45" s="54" customFormat="1" x14ac:dyDescent="0.25">
      <c r="Q140" s="195"/>
      <c r="R140" s="195"/>
      <c r="S140" s="195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</row>
    <row r="141" spans="17:45" s="54" customFormat="1" x14ac:dyDescent="0.25">
      <c r="Q141" s="195"/>
      <c r="R141" s="195"/>
      <c r="S141" s="195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</row>
    <row r="142" spans="17:45" s="54" customFormat="1" x14ac:dyDescent="0.25">
      <c r="Q142" s="195"/>
      <c r="R142" s="195"/>
      <c r="S142" s="195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</row>
    <row r="143" spans="17:45" s="54" customFormat="1" x14ac:dyDescent="0.25">
      <c r="Q143" s="195"/>
      <c r="R143" s="195"/>
      <c r="S143" s="195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</row>
    <row r="144" spans="17:45" s="54" customFormat="1" x14ac:dyDescent="0.25">
      <c r="Q144" s="195"/>
      <c r="R144" s="195"/>
      <c r="S144" s="195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</row>
    <row r="145" spans="17:45" s="54" customFormat="1" x14ac:dyDescent="0.25">
      <c r="Q145" s="195"/>
      <c r="R145" s="195"/>
      <c r="S145" s="195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</row>
    <row r="146" spans="17:45" s="54" customFormat="1" x14ac:dyDescent="0.25">
      <c r="Q146" s="195"/>
      <c r="R146" s="195"/>
      <c r="S146" s="195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</row>
    <row r="147" spans="17:45" s="54" customFormat="1" x14ac:dyDescent="0.25">
      <c r="Q147" s="195"/>
      <c r="R147" s="195"/>
      <c r="S147" s="195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</row>
    <row r="148" spans="17:45" s="54" customFormat="1" x14ac:dyDescent="0.25">
      <c r="Q148" s="195"/>
      <c r="R148" s="195"/>
      <c r="S148" s="195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</row>
    <row r="149" spans="17:45" s="54" customFormat="1" x14ac:dyDescent="0.25">
      <c r="Q149" s="195"/>
      <c r="R149" s="195"/>
      <c r="S149" s="195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</row>
    <row r="150" spans="17:45" s="54" customFormat="1" x14ac:dyDescent="0.25">
      <c r="Q150" s="195"/>
      <c r="R150" s="195"/>
      <c r="S150" s="195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</row>
    <row r="151" spans="17:45" s="54" customFormat="1" x14ac:dyDescent="0.25">
      <c r="Q151" s="195"/>
      <c r="R151" s="195"/>
      <c r="S151" s="195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</row>
    <row r="152" spans="17:45" s="54" customFormat="1" x14ac:dyDescent="0.25">
      <c r="Q152" s="195"/>
      <c r="R152" s="195"/>
      <c r="S152" s="195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</row>
    <row r="153" spans="17:45" s="54" customFormat="1" x14ac:dyDescent="0.25">
      <c r="Q153" s="195"/>
      <c r="R153" s="195"/>
      <c r="S153" s="195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</row>
    <row r="154" spans="17:45" s="54" customFormat="1" x14ac:dyDescent="0.25">
      <c r="Q154" s="195"/>
      <c r="R154" s="195"/>
      <c r="S154" s="195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</row>
    <row r="155" spans="17:45" s="54" customFormat="1" x14ac:dyDescent="0.25">
      <c r="Q155" s="195"/>
      <c r="R155" s="195"/>
      <c r="S155" s="195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</row>
    <row r="156" spans="17:45" s="54" customFormat="1" x14ac:dyDescent="0.25">
      <c r="Q156" s="195"/>
      <c r="R156" s="195"/>
      <c r="S156" s="195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</row>
    <row r="157" spans="17:45" s="54" customFormat="1" x14ac:dyDescent="0.25">
      <c r="Q157" s="195"/>
      <c r="R157" s="195"/>
      <c r="S157" s="195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</row>
    <row r="158" spans="17:45" s="54" customFormat="1" x14ac:dyDescent="0.25">
      <c r="Q158" s="195"/>
      <c r="R158" s="195"/>
      <c r="S158" s="195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</row>
    <row r="159" spans="17:45" s="54" customFormat="1" x14ac:dyDescent="0.25">
      <c r="Q159" s="195"/>
      <c r="R159" s="195"/>
      <c r="S159" s="195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</row>
    <row r="160" spans="17:45" s="54" customFormat="1" x14ac:dyDescent="0.25">
      <c r="Q160" s="195"/>
      <c r="R160" s="195"/>
      <c r="S160" s="195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</row>
    <row r="161" spans="17:45" s="54" customFormat="1" x14ac:dyDescent="0.25">
      <c r="Q161" s="195"/>
      <c r="R161" s="195"/>
      <c r="S161" s="195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</row>
    <row r="162" spans="17:45" s="54" customFormat="1" x14ac:dyDescent="0.25">
      <c r="Q162" s="195"/>
      <c r="R162" s="195"/>
      <c r="S162" s="195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</row>
    <row r="163" spans="17:45" s="54" customFormat="1" x14ac:dyDescent="0.25">
      <c r="Q163" s="195"/>
      <c r="R163" s="195"/>
      <c r="S163" s="195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</row>
    <row r="164" spans="17:45" s="54" customFormat="1" x14ac:dyDescent="0.25">
      <c r="Q164" s="195"/>
      <c r="R164" s="195"/>
      <c r="S164" s="195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</row>
    <row r="165" spans="17:45" s="54" customFormat="1" x14ac:dyDescent="0.25">
      <c r="Q165" s="195"/>
      <c r="R165" s="195"/>
      <c r="S165" s="195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</row>
    <row r="166" spans="17:45" s="54" customFormat="1" x14ac:dyDescent="0.25">
      <c r="Q166" s="195"/>
      <c r="R166" s="195"/>
      <c r="S166" s="195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</row>
    <row r="167" spans="17:45" s="54" customFormat="1" x14ac:dyDescent="0.25">
      <c r="Q167" s="195"/>
      <c r="R167" s="195"/>
      <c r="S167" s="195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</row>
    <row r="168" spans="17:45" s="54" customFormat="1" x14ac:dyDescent="0.25">
      <c r="Q168" s="195"/>
      <c r="R168" s="195"/>
      <c r="S168" s="195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</row>
    <row r="169" spans="17:45" s="54" customFormat="1" x14ac:dyDescent="0.25">
      <c r="Q169" s="195"/>
      <c r="R169" s="195"/>
      <c r="S169" s="195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</row>
    <row r="170" spans="17:45" s="54" customFormat="1" x14ac:dyDescent="0.25">
      <c r="Q170" s="195"/>
      <c r="R170" s="195"/>
      <c r="S170" s="195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</row>
    <row r="171" spans="17:45" s="54" customFormat="1" x14ac:dyDescent="0.25">
      <c r="Q171" s="195"/>
      <c r="R171" s="195"/>
      <c r="S171" s="195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</row>
    <row r="172" spans="17:45" s="54" customFormat="1" x14ac:dyDescent="0.25">
      <c r="Q172" s="195"/>
      <c r="R172" s="195"/>
      <c r="S172" s="195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</row>
    <row r="173" spans="17:45" s="54" customFormat="1" x14ac:dyDescent="0.25">
      <c r="Q173" s="195"/>
      <c r="R173" s="195"/>
      <c r="S173" s="195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</row>
    <row r="174" spans="17:45" s="54" customFormat="1" x14ac:dyDescent="0.25">
      <c r="Q174" s="195"/>
      <c r="R174" s="195"/>
      <c r="S174" s="195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</row>
    <row r="175" spans="17:45" s="54" customFormat="1" x14ac:dyDescent="0.25">
      <c r="Q175" s="195"/>
      <c r="R175" s="195"/>
      <c r="S175" s="195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</row>
    <row r="176" spans="17:45" s="54" customFormat="1" x14ac:dyDescent="0.25">
      <c r="Q176" s="195"/>
      <c r="R176" s="195"/>
      <c r="S176" s="195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</row>
    <row r="177" spans="17:45" s="54" customFormat="1" x14ac:dyDescent="0.25">
      <c r="Q177" s="195"/>
      <c r="R177" s="195"/>
      <c r="S177" s="195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</row>
    <row r="178" spans="17:45" s="54" customFormat="1" x14ac:dyDescent="0.25">
      <c r="Q178" s="195"/>
      <c r="R178" s="195"/>
      <c r="S178" s="195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</row>
    <row r="179" spans="17:45" s="54" customFormat="1" x14ac:dyDescent="0.25">
      <c r="Q179" s="195"/>
      <c r="R179" s="195"/>
      <c r="S179" s="195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</row>
    <row r="180" spans="17:45" s="54" customFormat="1" x14ac:dyDescent="0.25">
      <c r="Q180" s="195"/>
      <c r="R180" s="195"/>
      <c r="S180" s="195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</row>
    <row r="181" spans="17:45" s="54" customFormat="1" x14ac:dyDescent="0.25">
      <c r="Q181" s="195"/>
      <c r="R181" s="195"/>
      <c r="S181" s="195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</row>
    <row r="182" spans="17:45" s="54" customFormat="1" x14ac:dyDescent="0.25">
      <c r="Q182" s="195"/>
      <c r="R182" s="195"/>
      <c r="S182" s="195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</row>
    <row r="183" spans="17:45" s="54" customFormat="1" x14ac:dyDescent="0.25">
      <c r="Q183" s="195"/>
      <c r="R183" s="195"/>
      <c r="S183" s="195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</row>
    <row r="184" spans="17:45" s="54" customFormat="1" x14ac:dyDescent="0.25">
      <c r="Q184" s="195"/>
      <c r="R184" s="195"/>
      <c r="S184" s="195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</row>
    <row r="185" spans="17:45" s="54" customFormat="1" x14ac:dyDescent="0.25">
      <c r="Q185" s="195"/>
      <c r="R185" s="195"/>
      <c r="S185" s="195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</row>
    <row r="186" spans="17:45" s="54" customFormat="1" x14ac:dyDescent="0.25">
      <c r="Q186" s="195"/>
      <c r="R186" s="195"/>
      <c r="S186" s="195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</row>
    <row r="187" spans="17:45" s="54" customFormat="1" x14ac:dyDescent="0.25">
      <c r="Q187" s="195"/>
      <c r="R187" s="195"/>
      <c r="S187" s="195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</row>
    <row r="188" spans="17:45" s="54" customFormat="1" x14ac:dyDescent="0.25">
      <c r="Q188" s="195"/>
      <c r="R188" s="195"/>
      <c r="S188" s="195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</row>
    <row r="189" spans="17:45" s="54" customFormat="1" x14ac:dyDescent="0.25">
      <c r="Q189" s="195"/>
      <c r="R189" s="195"/>
      <c r="S189" s="195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</row>
    <row r="190" spans="17:45" s="54" customFormat="1" x14ac:dyDescent="0.25">
      <c r="Q190" s="195"/>
      <c r="R190" s="195"/>
      <c r="S190" s="195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</row>
    <row r="191" spans="17:45" s="54" customFormat="1" x14ac:dyDescent="0.25">
      <c r="Q191" s="195"/>
      <c r="R191" s="195"/>
      <c r="S191" s="195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</row>
    <row r="192" spans="17:45" s="54" customFormat="1" x14ac:dyDescent="0.25">
      <c r="Q192" s="195"/>
      <c r="R192" s="195"/>
      <c r="S192" s="195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</row>
    <row r="193" spans="17:45" s="54" customFormat="1" x14ac:dyDescent="0.25">
      <c r="Q193" s="195"/>
      <c r="R193" s="195"/>
      <c r="S193" s="195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</row>
    <row r="194" spans="17:45" s="54" customFormat="1" x14ac:dyDescent="0.25">
      <c r="Q194" s="195"/>
      <c r="R194" s="195"/>
      <c r="S194" s="195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</row>
    <row r="195" spans="17:45" s="54" customFormat="1" x14ac:dyDescent="0.25">
      <c r="Q195" s="195"/>
      <c r="R195" s="195"/>
      <c r="S195" s="195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</row>
    <row r="196" spans="17:45" s="54" customFormat="1" x14ac:dyDescent="0.25">
      <c r="Q196" s="195"/>
      <c r="R196" s="195"/>
      <c r="S196" s="195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</row>
    <row r="197" spans="17:45" s="54" customFormat="1" x14ac:dyDescent="0.25">
      <c r="Q197" s="195"/>
      <c r="R197" s="195"/>
      <c r="S197" s="195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</row>
    <row r="198" spans="17:45" s="54" customFormat="1" x14ac:dyDescent="0.25">
      <c r="Q198" s="195"/>
      <c r="R198" s="195"/>
      <c r="S198" s="195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</row>
    <row r="199" spans="17:45" s="54" customFormat="1" x14ac:dyDescent="0.25">
      <c r="Q199" s="195"/>
      <c r="R199" s="195"/>
      <c r="S199" s="195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</row>
    <row r="200" spans="17:45" s="54" customFormat="1" x14ac:dyDescent="0.25">
      <c r="Q200" s="195"/>
      <c r="R200" s="195"/>
      <c r="S200" s="195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</row>
    <row r="201" spans="17:45" s="54" customFormat="1" x14ac:dyDescent="0.25">
      <c r="Q201" s="195"/>
      <c r="R201" s="195"/>
      <c r="S201" s="195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</row>
    <row r="202" spans="17:45" s="54" customFormat="1" x14ac:dyDescent="0.25">
      <c r="Q202" s="195"/>
      <c r="R202" s="195"/>
      <c r="S202" s="195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</row>
    <row r="203" spans="17:45" s="54" customFormat="1" x14ac:dyDescent="0.25">
      <c r="Q203" s="195"/>
      <c r="R203" s="195"/>
      <c r="S203" s="195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</row>
    <row r="204" spans="17:45" s="54" customFormat="1" x14ac:dyDescent="0.25">
      <c r="Q204" s="195"/>
      <c r="R204" s="195"/>
      <c r="S204" s="195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</row>
    <row r="205" spans="17:45" s="54" customFormat="1" x14ac:dyDescent="0.25">
      <c r="Q205" s="195"/>
      <c r="R205" s="195"/>
      <c r="S205" s="195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</row>
    <row r="206" spans="17:45" s="54" customFormat="1" x14ac:dyDescent="0.25">
      <c r="Q206" s="195"/>
      <c r="R206" s="195"/>
      <c r="S206" s="195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</row>
    <row r="207" spans="17:45" s="54" customFormat="1" x14ac:dyDescent="0.25">
      <c r="Q207" s="195"/>
      <c r="R207" s="195"/>
      <c r="S207" s="195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</row>
    <row r="208" spans="17:45" s="54" customFormat="1" x14ac:dyDescent="0.25">
      <c r="Q208" s="195"/>
      <c r="R208" s="195"/>
      <c r="S208" s="195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</row>
    <row r="209" spans="17:45" s="54" customFormat="1" x14ac:dyDescent="0.25">
      <c r="Q209" s="195"/>
      <c r="R209" s="195"/>
      <c r="S209" s="195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</row>
    <row r="210" spans="17:45" s="54" customFormat="1" x14ac:dyDescent="0.25">
      <c r="Q210" s="195"/>
      <c r="R210" s="195"/>
      <c r="S210" s="195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</row>
    <row r="211" spans="17:45" s="54" customFormat="1" x14ac:dyDescent="0.25">
      <c r="Q211" s="195"/>
      <c r="R211" s="195"/>
      <c r="S211" s="195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</row>
    <row r="212" spans="17:45" s="54" customFormat="1" x14ac:dyDescent="0.25">
      <c r="Q212" s="195"/>
      <c r="R212" s="195"/>
      <c r="S212" s="195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</row>
    <row r="213" spans="17:45" s="54" customFormat="1" x14ac:dyDescent="0.25">
      <c r="Q213" s="195"/>
      <c r="R213" s="195"/>
      <c r="S213" s="195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</row>
    <row r="214" spans="17:45" s="54" customFormat="1" x14ac:dyDescent="0.25">
      <c r="Q214" s="195"/>
      <c r="R214" s="195"/>
      <c r="S214" s="195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</row>
    <row r="215" spans="17:45" s="54" customFormat="1" x14ac:dyDescent="0.25">
      <c r="Q215" s="195"/>
      <c r="R215" s="195"/>
      <c r="S215" s="195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</row>
    <row r="216" spans="17:45" s="54" customFormat="1" x14ac:dyDescent="0.25">
      <c r="Q216" s="195"/>
      <c r="R216" s="195"/>
      <c r="S216" s="195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</row>
    <row r="217" spans="17:45" s="54" customFormat="1" x14ac:dyDescent="0.25">
      <c r="Q217" s="195"/>
      <c r="R217" s="195"/>
      <c r="S217" s="195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</row>
    <row r="218" spans="17:45" s="54" customFormat="1" x14ac:dyDescent="0.25">
      <c r="Q218" s="195"/>
      <c r="R218" s="195"/>
      <c r="S218" s="195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</row>
    <row r="219" spans="17:45" s="54" customFormat="1" x14ac:dyDescent="0.25">
      <c r="Q219" s="195"/>
      <c r="R219" s="195"/>
      <c r="S219" s="195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</row>
    <row r="220" spans="17:45" s="54" customFormat="1" x14ac:dyDescent="0.25">
      <c r="Q220" s="195"/>
      <c r="R220" s="195"/>
      <c r="S220" s="195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</row>
    <row r="221" spans="17:45" s="54" customFormat="1" x14ac:dyDescent="0.25">
      <c r="Q221" s="195"/>
      <c r="R221" s="195"/>
      <c r="S221" s="195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</row>
    <row r="222" spans="17:45" s="54" customFormat="1" x14ac:dyDescent="0.25">
      <c r="Q222" s="195"/>
      <c r="R222" s="195"/>
      <c r="S222" s="195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</row>
    <row r="223" spans="17:45" s="54" customFormat="1" x14ac:dyDescent="0.25">
      <c r="Q223" s="195"/>
      <c r="R223" s="195"/>
      <c r="S223" s="195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</row>
    <row r="224" spans="17:45" s="54" customFormat="1" x14ac:dyDescent="0.25">
      <c r="Q224" s="195"/>
      <c r="R224" s="195"/>
      <c r="S224" s="195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</row>
    <row r="225" spans="17:45" s="54" customFormat="1" x14ac:dyDescent="0.25">
      <c r="Q225" s="195"/>
      <c r="R225" s="195"/>
      <c r="S225" s="195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</row>
    <row r="226" spans="17:45" s="54" customFormat="1" x14ac:dyDescent="0.25">
      <c r="Q226" s="195"/>
      <c r="R226" s="195"/>
      <c r="S226" s="195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</row>
    <row r="227" spans="17:45" s="54" customFormat="1" x14ac:dyDescent="0.25">
      <c r="Q227" s="195"/>
      <c r="R227" s="195"/>
      <c r="S227" s="195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</row>
    <row r="228" spans="17:45" s="54" customFormat="1" x14ac:dyDescent="0.25">
      <c r="Q228" s="195"/>
      <c r="R228" s="195"/>
      <c r="S228" s="195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</row>
    <row r="229" spans="17:45" s="54" customFormat="1" x14ac:dyDescent="0.25">
      <c r="Q229" s="195"/>
      <c r="R229" s="195"/>
      <c r="S229" s="195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</row>
    <row r="230" spans="17:45" s="54" customFormat="1" x14ac:dyDescent="0.25">
      <c r="Q230" s="195"/>
      <c r="R230" s="195"/>
      <c r="S230" s="195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</row>
    <row r="231" spans="17:45" s="54" customFormat="1" x14ac:dyDescent="0.25">
      <c r="Q231" s="195"/>
      <c r="R231" s="195"/>
      <c r="S231" s="195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</row>
    <row r="232" spans="17:45" s="54" customFormat="1" x14ac:dyDescent="0.25">
      <c r="Q232" s="195"/>
      <c r="R232" s="195"/>
      <c r="S232" s="195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</row>
    <row r="233" spans="17:45" s="54" customFormat="1" x14ac:dyDescent="0.25">
      <c r="Q233" s="195"/>
      <c r="R233" s="195"/>
      <c r="S233" s="195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</row>
    <row r="234" spans="17:45" s="54" customFormat="1" x14ac:dyDescent="0.25">
      <c r="Q234" s="195"/>
      <c r="R234" s="195"/>
      <c r="S234" s="195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</row>
    <row r="235" spans="17:45" s="54" customFormat="1" x14ac:dyDescent="0.25">
      <c r="Q235" s="195"/>
      <c r="R235" s="195"/>
      <c r="S235" s="195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</row>
    <row r="236" spans="17:45" s="54" customFormat="1" x14ac:dyDescent="0.25">
      <c r="Q236" s="195"/>
      <c r="R236" s="195"/>
      <c r="S236" s="195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</row>
    <row r="237" spans="17:45" s="54" customFormat="1" x14ac:dyDescent="0.25">
      <c r="Q237" s="195"/>
      <c r="R237" s="195"/>
      <c r="S237" s="195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</row>
    <row r="238" spans="17:45" s="54" customFormat="1" x14ac:dyDescent="0.25">
      <c r="Q238" s="195"/>
      <c r="R238" s="195"/>
      <c r="S238" s="195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</row>
    <row r="239" spans="17:45" s="54" customFormat="1" x14ac:dyDescent="0.25">
      <c r="Q239" s="195"/>
      <c r="R239" s="195"/>
      <c r="S239" s="195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</row>
    <row r="240" spans="17:45" s="54" customFormat="1" x14ac:dyDescent="0.25">
      <c r="Q240" s="195"/>
      <c r="R240" s="195"/>
      <c r="S240" s="195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</row>
    <row r="241" spans="17:45" s="54" customFormat="1" x14ac:dyDescent="0.25">
      <c r="Q241" s="195"/>
      <c r="R241" s="195"/>
      <c r="S241" s="195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</row>
    <row r="242" spans="17:45" s="54" customFormat="1" x14ac:dyDescent="0.25">
      <c r="Q242" s="195"/>
      <c r="R242" s="195"/>
      <c r="S242" s="195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</row>
    <row r="243" spans="17:45" s="54" customFormat="1" x14ac:dyDescent="0.25">
      <c r="Q243" s="195"/>
      <c r="R243" s="195"/>
      <c r="S243" s="195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</row>
    <row r="244" spans="17:45" s="54" customFormat="1" x14ac:dyDescent="0.25">
      <c r="Q244" s="195"/>
      <c r="R244" s="195"/>
      <c r="S244" s="195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</row>
    <row r="245" spans="17:45" s="54" customFormat="1" x14ac:dyDescent="0.25">
      <c r="Q245" s="195"/>
      <c r="R245" s="195"/>
      <c r="S245" s="195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</row>
    <row r="246" spans="17:45" s="54" customFormat="1" x14ac:dyDescent="0.25">
      <c r="Q246" s="195"/>
      <c r="R246" s="195"/>
      <c r="S246" s="195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</row>
    <row r="247" spans="17:45" s="54" customFormat="1" x14ac:dyDescent="0.25">
      <c r="Q247" s="195"/>
      <c r="R247" s="195"/>
      <c r="S247" s="195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</row>
    <row r="248" spans="17:45" s="54" customFormat="1" x14ac:dyDescent="0.25">
      <c r="Q248" s="195"/>
      <c r="R248" s="195"/>
      <c r="S248" s="195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</row>
    <row r="249" spans="17:45" s="54" customFormat="1" x14ac:dyDescent="0.25">
      <c r="Q249" s="195"/>
      <c r="R249" s="195"/>
      <c r="S249" s="195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</row>
    <row r="250" spans="17:45" s="54" customFormat="1" x14ac:dyDescent="0.25">
      <c r="Q250" s="195"/>
      <c r="R250" s="195"/>
      <c r="S250" s="195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</row>
    <row r="251" spans="17:45" s="54" customFormat="1" x14ac:dyDescent="0.25">
      <c r="Q251" s="195"/>
      <c r="R251" s="195"/>
      <c r="S251" s="195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</row>
    <row r="252" spans="17:45" s="54" customFormat="1" x14ac:dyDescent="0.25">
      <c r="Q252" s="195"/>
      <c r="R252" s="195"/>
      <c r="S252" s="195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</row>
    <row r="253" spans="17:45" s="54" customFormat="1" x14ac:dyDescent="0.25">
      <c r="Q253" s="195"/>
      <c r="R253" s="195"/>
      <c r="S253" s="195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</row>
    <row r="254" spans="17:45" s="54" customFormat="1" x14ac:dyDescent="0.25">
      <c r="Q254" s="195"/>
      <c r="R254" s="195"/>
      <c r="S254" s="195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</row>
    <row r="255" spans="17:45" s="54" customFormat="1" x14ac:dyDescent="0.25">
      <c r="Q255" s="195"/>
      <c r="R255" s="195"/>
      <c r="S255" s="195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</row>
    <row r="256" spans="17:45" s="54" customFormat="1" x14ac:dyDescent="0.25">
      <c r="Q256" s="195"/>
      <c r="R256" s="195"/>
      <c r="S256" s="195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</row>
    <row r="257" spans="17:45" s="54" customFormat="1" x14ac:dyDescent="0.25">
      <c r="Q257" s="195"/>
      <c r="R257" s="195"/>
      <c r="S257" s="195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</row>
    <row r="258" spans="17:45" s="54" customFormat="1" x14ac:dyDescent="0.25">
      <c r="Q258" s="195"/>
      <c r="R258" s="195"/>
      <c r="S258" s="195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</row>
    <row r="259" spans="17:45" s="54" customFormat="1" x14ac:dyDescent="0.25">
      <c r="Q259" s="195"/>
      <c r="R259" s="195"/>
      <c r="S259" s="195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</row>
    <row r="260" spans="17:45" s="54" customFormat="1" x14ac:dyDescent="0.25">
      <c r="Q260" s="195"/>
      <c r="R260" s="195"/>
      <c r="S260" s="195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</row>
    <row r="261" spans="17:45" s="54" customFormat="1" x14ac:dyDescent="0.25">
      <c r="Q261" s="195"/>
      <c r="R261" s="195"/>
      <c r="S261" s="195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</row>
    <row r="262" spans="17:45" s="54" customFormat="1" x14ac:dyDescent="0.25">
      <c r="Q262" s="195"/>
      <c r="R262" s="195"/>
      <c r="S262" s="195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</row>
    <row r="263" spans="17:45" s="54" customFormat="1" x14ac:dyDescent="0.25">
      <c r="Q263" s="195"/>
      <c r="R263" s="195"/>
      <c r="S263" s="195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</row>
    <row r="264" spans="17:45" s="54" customFormat="1" x14ac:dyDescent="0.25">
      <c r="Q264" s="195"/>
      <c r="R264" s="195"/>
      <c r="S264" s="195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</row>
    <row r="265" spans="17:45" s="54" customFormat="1" x14ac:dyDescent="0.25">
      <c r="Q265" s="195"/>
      <c r="R265" s="195"/>
      <c r="S265" s="195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</row>
    <row r="266" spans="17:45" s="54" customFormat="1" x14ac:dyDescent="0.25">
      <c r="Q266" s="195"/>
      <c r="R266" s="195"/>
      <c r="S266" s="195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</row>
    <row r="267" spans="17:45" s="54" customFormat="1" x14ac:dyDescent="0.25">
      <c r="Q267" s="195"/>
      <c r="R267" s="195"/>
      <c r="S267" s="195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</row>
    <row r="268" spans="17:45" s="54" customFormat="1" x14ac:dyDescent="0.25">
      <c r="Q268" s="195"/>
      <c r="R268" s="195"/>
      <c r="S268" s="195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</row>
    <row r="269" spans="17:45" s="54" customFormat="1" x14ac:dyDescent="0.25">
      <c r="Q269" s="195"/>
      <c r="R269" s="195"/>
      <c r="S269" s="195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</row>
    <row r="270" spans="17:45" s="54" customFormat="1" x14ac:dyDescent="0.25">
      <c r="Q270" s="195"/>
      <c r="R270" s="195"/>
      <c r="S270" s="195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</row>
    <row r="271" spans="17:45" s="54" customFormat="1" x14ac:dyDescent="0.25">
      <c r="Q271" s="195"/>
      <c r="R271" s="195"/>
      <c r="S271" s="195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</row>
    <row r="272" spans="17:45" s="54" customFormat="1" x14ac:dyDescent="0.25">
      <c r="Q272" s="195"/>
      <c r="R272" s="195"/>
      <c r="S272" s="195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</row>
    <row r="273" spans="17:45" s="54" customFormat="1" x14ac:dyDescent="0.25">
      <c r="Q273" s="195"/>
      <c r="R273" s="195"/>
      <c r="S273" s="195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</row>
    <row r="274" spans="17:45" s="54" customFormat="1" x14ac:dyDescent="0.25">
      <c r="Q274" s="195"/>
      <c r="R274" s="195"/>
      <c r="S274" s="195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</row>
    <row r="275" spans="17:45" s="54" customFormat="1" x14ac:dyDescent="0.25">
      <c r="Q275" s="195"/>
      <c r="R275" s="195"/>
      <c r="S275" s="195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</row>
    <row r="276" spans="17:45" s="54" customFormat="1" x14ac:dyDescent="0.25">
      <c r="Q276" s="195"/>
      <c r="R276" s="195"/>
      <c r="S276" s="195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</row>
    <row r="277" spans="17:45" s="54" customFormat="1" x14ac:dyDescent="0.25">
      <c r="Q277" s="195"/>
      <c r="R277" s="195"/>
      <c r="S277" s="195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</row>
    <row r="278" spans="17:45" s="54" customFormat="1" x14ac:dyDescent="0.25">
      <c r="Q278" s="195"/>
      <c r="R278" s="195"/>
      <c r="S278" s="195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</row>
    <row r="279" spans="17:45" s="54" customFormat="1" x14ac:dyDescent="0.25">
      <c r="Q279" s="195"/>
      <c r="R279" s="195"/>
      <c r="S279" s="195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</row>
    <row r="280" spans="17:45" s="54" customFormat="1" x14ac:dyDescent="0.25">
      <c r="Q280" s="195"/>
      <c r="R280" s="195"/>
      <c r="S280" s="195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</row>
    <row r="281" spans="17:45" s="54" customFormat="1" x14ac:dyDescent="0.25">
      <c r="Q281" s="195"/>
      <c r="R281" s="195"/>
      <c r="S281" s="195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</row>
    <row r="282" spans="17:45" s="54" customFormat="1" x14ac:dyDescent="0.25">
      <c r="Q282" s="195"/>
      <c r="R282" s="195"/>
      <c r="S282" s="195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</row>
    <row r="283" spans="17:45" s="54" customFormat="1" x14ac:dyDescent="0.25">
      <c r="Q283" s="195"/>
      <c r="R283" s="195"/>
      <c r="S283" s="195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</row>
    <row r="284" spans="17:45" s="54" customFormat="1" x14ac:dyDescent="0.25">
      <c r="Q284" s="195"/>
      <c r="R284" s="195"/>
      <c r="S284" s="195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</row>
    <row r="285" spans="17:45" s="54" customFormat="1" x14ac:dyDescent="0.25">
      <c r="Q285" s="195"/>
      <c r="R285" s="195"/>
      <c r="S285" s="195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</row>
    <row r="286" spans="17:45" s="54" customFormat="1" x14ac:dyDescent="0.25">
      <c r="Q286" s="195"/>
      <c r="R286" s="195"/>
      <c r="S286" s="195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</row>
    <row r="287" spans="17:45" s="54" customFormat="1" x14ac:dyDescent="0.25">
      <c r="Q287" s="195"/>
      <c r="R287" s="195"/>
      <c r="S287" s="195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</row>
    <row r="288" spans="17:45" s="54" customFormat="1" x14ac:dyDescent="0.25">
      <c r="Q288" s="195"/>
      <c r="R288" s="195"/>
      <c r="S288" s="195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</row>
    <row r="289" spans="17:45" s="54" customFormat="1" x14ac:dyDescent="0.25">
      <c r="Q289" s="195"/>
      <c r="R289" s="195"/>
      <c r="S289" s="195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</row>
    <row r="290" spans="17:45" s="54" customFormat="1" x14ac:dyDescent="0.25">
      <c r="Q290" s="195"/>
      <c r="R290" s="195"/>
      <c r="S290" s="195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</row>
    <row r="291" spans="17:45" s="54" customFormat="1" x14ac:dyDescent="0.25">
      <c r="Q291" s="195"/>
      <c r="R291" s="195"/>
      <c r="S291" s="195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</row>
    <row r="292" spans="17:45" s="54" customFormat="1" x14ac:dyDescent="0.25">
      <c r="Q292" s="195"/>
      <c r="R292" s="195"/>
      <c r="S292" s="195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</row>
    <row r="293" spans="17:45" s="54" customFormat="1" x14ac:dyDescent="0.25">
      <c r="Q293" s="195"/>
      <c r="R293" s="195"/>
      <c r="S293" s="195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</row>
    <row r="294" spans="17:45" s="54" customFormat="1" x14ac:dyDescent="0.25">
      <c r="Q294" s="195"/>
      <c r="R294" s="195"/>
      <c r="S294" s="195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</row>
    <row r="295" spans="17:45" s="54" customFormat="1" x14ac:dyDescent="0.25">
      <c r="Q295" s="195"/>
      <c r="R295" s="195"/>
      <c r="S295" s="195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</row>
    <row r="296" spans="17:45" s="54" customFormat="1" x14ac:dyDescent="0.25">
      <c r="Q296" s="195"/>
      <c r="R296" s="195"/>
      <c r="S296" s="195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</row>
    <row r="297" spans="17:45" s="54" customFormat="1" x14ac:dyDescent="0.25">
      <c r="Q297" s="195"/>
      <c r="R297" s="195"/>
      <c r="S297" s="195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</row>
    <row r="298" spans="17:45" s="54" customFormat="1" x14ac:dyDescent="0.25">
      <c r="Q298" s="195"/>
      <c r="R298" s="195"/>
      <c r="S298" s="195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</row>
    <row r="299" spans="17:45" s="54" customFormat="1" x14ac:dyDescent="0.25">
      <c r="Q299" s="195"/>
      <c r="R299" s="195"/>
      <c r="S299" s="195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</row>
    <row r="300" spans="17:45" s="54" customFormat="1" x14ac:dyDescent="0.25">
      <c r="Q300" s="195"/>
      <c r="R300" s="195"/>
      <c r="S300" s="195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</row>
    <row r="301" spans="17:45" s="54" customFormat="1" x14ac:dyDescent="0.25">
      <c r="Q301" s="195"/>
      <c r="R301" s="195"/>
      <c r="S301" s="195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</row>
    <row r="302" spans="17:45" s="54" customFormat="1" x14ac:dyDescent="0.25">
      <c r="Q302" s="195"/>
      <c r="R302" s="195"/>
      <c r="S302" s="195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</row>
    <row r="303" spans="17:45" s="54" customFormat="1" x14ac:dyDescent="0.25">
      <c r="Q303" s="195"/>
      <c r="R303" s="195"/>
      <c r="S303" s="195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</row>
    <row r="304" spans="17:45" s="54" customFormat="1" x14ac:dyDescent="0.25">
      <c r="Q304" s="195"/>
      <c r="R304" s="195"/>
      <c r="S304" s="195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</row>
    <row r="305" spans="17:45" s="54" customFormat="1" x14ac:dyDescent="0.25">
      <c r="Q305" s="195"/>
      <c r="R305" s="195"/>
      <c r="S305" s="195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</row>
    <row r="306" spans="17:45" s="54" customFormat="1" x14ac:dyDescent="0.25">
      <c r="Q306" s="195"/>
      <c r="R306" s="195"/>
      <c r="S306" s="195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</row>
    <row r="307" spans="17:45" s="54" customFormat="1" x14ac:dyDescent="0.25">
      <c r="Q307" s="195"/>
      <c r="R307" s="195"/>
      <c r="S307" s="195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</row>
    <row r="308" spans="17:45" s="54" customFormat="1" x14ac:dyDescent="0.25">
      <c r="Q308" s="195"/>
      <c r="R308" s="195"/>
      <c r="S308" s="195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</row>
    <row r="309" spans="17:45" s="54" customFormat="1" x14ac:dyDescent="0.25">
      <c r="Q309" s="195"/>
      <c r="R309" s="195"/>
      <c r="S309" s="195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</row>
    <row r="310" spans="17:45" s="54" customFormat="1" x14ac:dyDescent="0.25">
      <c r="Q310" s="195"/>
      <c r="R310" s="195"/>
      <c r="S310" s="195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</row>
    <row r="311" spans="17:45" s="54" customFormat="1" x14ac:dyDescent="0.25">
      <c r="Q311" s="195"/>
      <c r="R311" s="195"/>
      <c r="S311" s="195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</row>
    <row r="312" spans="17:45" s="54" customFormat="1" x14ac:dyDescent="0.25">
      <c r="Q312" s="195"/>
      <c r="R312" s="195"/>
      <c r="S312" s="195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</row>
    <row r="313" spans="17:45" s="54" customFormat="1" x14ac:dyDescent="0.25">
      <c r="Q313" s="195"/>
      <c r="R313" s="195"/>
      <c r="S313" s="195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</row>
    <row r="314" spans="17:45" s="54" customFormat="1" x14ac:dyDescent="0.25">
      <c r="Q314" s="195"/>
      <c r="R314" s="195"/>
      <c r="S314" s="195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</row>
    <row r="315" spans="17:45" s="54" customFormat="1" x14ac:dyDescent="0.25">
      <c r="Q315" s="195"/>
      <c r="R315" s="195"/>
      <c r="S315" s="195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</row>
    <row r="316" spans="17:45" s="54" customFormat="1" x14ac:dyDescent="0.25">
      <c r="Q316" s="195"/>
      <c r="R316" s="195"/>
      <c r="S316" s="195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</row>
    <row r="317" spans="17:45" s="54" customFormat="1" x14ac:dyDescent="0.25">
      <c r="Q317" s="195"/>
      <c r="R317" s="195"/>
      <c r="S317" s="195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</row>
    <row r="318" spans="17:45" s="54" customFormat="1" x14ac:dyDescent="0.25">
      <c r="Q318" s="195"/>
      <c r="R318" s="195"/>
      <c r="S318" s="195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</row>
    <row r="319" spans="17:45" s="54" customFormat="1" x14ac:dyDescent="0.25">
      <c r="Q319" s="195"/>
      <c r="R319" s="195"/>
      <c r="S319" s="195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</row>
    <row r="320" spans="17:45" s="54" customFormat="1" x14ac:dyDescent="0.25">
      <c r="Q320" s="195"/>
      <c r="R320" s="195"/>
      <c r="S320" s="195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</row>
    <row r="321" spans="17:45" s="54" customFormat="1" x14ac:dyDescent="0.25">
      <c r="Q321" s="195"/>
      <c r="R321" s="195"/>
      <c r="S321" s="195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</row>
    <row r="322" spans="17:45" s="54" customFormat="1" x14ac:dyDescent="0.25">
      <c r="Q322" s="195"/>
      <c r="R322" s="195"/>
      <c r="S322" s="195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</row>
    <row r="323" spans="17:45" s="54" customFormat="1" x14ac:dyDescent="0.25">
      <c r="Q323" s="195"/>
      <c r="R323" s="195"/>
      <c r="S323" s="195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</row>
    <row r="324" spans="17:45" s="54" customFormat="1" x14ac:dyDescent="0.25">
      <c r="Q324" s="195"/>
      <c r="R324" s="195"/>
      <c r="S324" s="195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</row>
    <row r="325" spans="17:45" s="54" customFormat="1" x14ac:dyDescent="0.25">
      <c r="Q325" s="195"/>
      <c r="R325" s="195"/>
      <c r="S325" s="195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</row>
    <row r="326" spans="17:45" s="54" customFormat="1" x14ac:dyDescent="0.25">
      <c r="Q326" s="195"/>
      <c r="R326" s="195"/>
      <c r="S326" s="195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</row>
    <row r="327" spans="17:45" s="54" customFormat="1" x14ac:dyDescent="0.25">
      <c r="Q327" s="195"/>
      <c r="R327" s="195"/>
      <c r="S327" s="195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</row>
    <row r="328" spans="17:45" s="54" customFormat="1" x14ac:dyDescent="0.25">
      <c r="Q328" s="195"/>
      <c r="R328" s="195"/>
      <c r="S328" s="195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</row>
    <row r="329" spans="17:45" s="54" customFormat="1" x14ac:dyDescent="0.25">
      <c r="Q329" s="195"/>
      <c r="R329" s="195"/>
      <c r="S329" s="195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</row>
    <row r="330" spans="17:45" s="54" customFormat="1" x14ac:dyDescent="0.25">
      <c r="Q330" s="195"/>
      <c r="R330" s="195"/>
      <c r="S330" s="195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</row>
    <row r="331" spans="17:45" s="54" customFormat="1" x14ac:dyDescent="0.25">
      <c r="Q331" s="195"/>
      <c r="R331" s="195"/>
      <c r="S331" s="195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</row>
    <row r="332" spans="17:45" s="54" customFormat="1" x14ac:dyDescent="0.25">
      <c r="Q332" s="195"/>
      <c r="R332" s="195"/>
      <c r="S332" s="195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</row>
    <row r="333" spans="17:45" s="54" customFormat="1" x14ac:dyDescent="0.25">
      <c r="Q333" s="195"/>
      <c r="R333" s="195"/>
      <c r="S333" s="195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</row>
    <row r="334" spans="17:45" s="54" customFormat="1" x14ac:dyDescent="0.25">
      <c r="Q334" s="195"/>
      <c r="R334" s="195"/>
      <c r="S334" s="195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</row>
    <row r="335" spans="17:45" s="54" customFormat="1" x14ac:dyDescent="0.25">
      <c r="Q335" s="195"/>
      <c r="R335" s="195"/>
      <c r="S335" s="195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</row>
    <row r="336" spans="17:45" s="54" customFormat="1" x14ac:dyDescent="0.25">
      <c r="Q336" s="195"/>
      <c r="R336" s="195"/>
      <c r="S336" s="195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</row>
    <row r="337" spans="17:45" s="54" customFormat="1" x14ac:dyDescent="0.25">
      <c r="Q337" s="195"/>
      <c r="R337" s="195"/>
      <c r="S337" s="195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</row>
    <row r="338" spans="17:45" s="54" customFormat="1" x14ac:dyDescent="0.25">
      <c r="Q338" s="195"/>
      <c r="R338" s="195"/>
      <c r="S338" s="195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</row>
    <row r="339" spans="17:45" s="54" customFormat="1" x14ac:dyDescent="0.25">
      <c r="Q339" s="195"/>
      <c r="R339" s="195"/>
      <c r="S339" s="195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</row>
    <row r="340" spans="17:45" s="54" customFormat="1" x14ac:dyDescent="0.25">
      <c r="Q340" s="195"/>
      <c r="R340" s="195"/>
      <c r="S340" s="195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</row>
    <row r="341" spans="17:45" s="54" customFormat="1" x14ac:dyDescent="0.25">
      <c r="Q341" s="195"/>
      <c r="R341" s="195"/>
      <c r="S341" s="195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</row>
    <row r="342" spans="17:45" s="54" customFormat="1" x14ac:dyDescent="0.25">
      <c r="Q342" s="195"/>
      <c r="R342" s="195"/>
      <c r="S342" s="195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</row>
    <row r="343" spans="17:45" s="54" customFormat="1" x14ac:dyDescent="0.25">
      <c r="Q343" s="195"/>
      <c r="R343" s="195"/>
      <c r="S343" s="195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</row>
    <row r="344" spans="17:45" s="54" customFormat="1" x14ac:dyDescent="0.25">
      <c r="Q344" s="195"/>
      <c r="R344" s="195"/>
      <c r="S344" s="195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</row>
    <row r="345" spans="17:45" s="54" customFormat="1" x14ac:dyDescent="0.25">
      <c r="Q345" s="195"/>
      <c r="R345" s="195"/>
      <c r="S345" s="195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</row>
    <row r="346" spans="17:45" s="54" customFormat="1" x14ac:dyDescent="0.25">
      <c r="Q346" s="195"/>
      <c r="R346" s="195"/>
      <c r="S346" s="195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</row>
    <row r="347" spans="17:45" s="54" customFormat="1" x14ac:dyDescent="0.25">
      <c r="Q347" s="195"/>
      <c r="R347" s="195"/>
      <c r="S347" s="195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</row>
    <row r="348" spans="17:45" s="54" customFormat="1" x14ac:dyDescent="0.25">
      <c r="Q348" s="195"/>
      <c r="R348" s="195"/>
      <c r="S348" s="195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</row>
    <row r="349" spans="17:45" s="54" customFormat="1" x14ac:dyDescent="0.25">
      <c r="Q349" s="195"/>
      <c r="R349" s="195"/>
      <c r="S349" s="195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</row>
    <row r="350" spans="17:45" s="54" customFormat="1" x14ac:dyDescent="0.25">
      <c r="Q350" s="195"/>
      <c r="R350" s="195"/>
      <c r="S350" s="195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</row>
    <row r="351" spans="17:45" s="54" customFormat="1" x14ac:dyDescent="0.25">
      <c r="Q351" s="195"/>
      <c r="R351" s="195"/>
      <c r="S351" s="195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</row>
    <row r="352" spans="17:45" s="54" customFormat="1" x14ac:dyDescent="0.25">
      <c r="Q352" s="195"/>
      <c r="R352" s="195"/>
      <c r="S352" s="195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</row>
    <row r="353" spans="17:45" s="54" customFormat="1" x14ac:dyDescent="0.25">
      <c r="Q353" s="195"/>
      <c r="R353" s="195"/>
      <c r="S353" s="195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</row>
    <row r="354" spans="17:45" s="54" customFormat="1" x14ac:dyDescent="0.25">
      <c r="Q354" s="195"/>
      <c r="R354" s="195"/>
      <c r="S354" s="195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</row>
    <row r="355" spans="17:45" s="54" customFormat="1" x14ac:dyDescent="0.25">
      <c r="Q355" s="195"/>
      <c r="R355" s="195"/>
      <c r="S355" s="195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</row>
    <row r="356" spans="17:45" s="54" customFormat="1" x14ac:dyDescent="0.25">
      <c r="Q356" s="195"/>
      <c r="R356" s="195"/>
      <c r="S356" s="195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</row>
    <row r="357" spans="17:45" s="54" customFormat="1" x14ac:dyDescent="0.25">
      <c r="Q357" s="195"/>
      <c r="R357" s="195"/>
      <c r="S357" s="195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</row>
    <row r="358" spans="17:45" s="54" customFormat="1" x14ac:dyDescent="0.25">
      <c r="Q358" s="195"/>
      <c r="R358" s="195"/>
      <c r="S358" s="195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</row>
    <row r="359" spans="17:45" s="54" customFormat="1" x14ac:dyDescent="0.25">
      <c r="Q359" s="195"/>
      <c r="R359" s="195"/>
      <c r="S359" s="195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</row>
    <row r="360" spans="17:45" s="54" customFormat="1" x14ac:dyDescent="0.25">
      <c r="Q360" s="195"/>
      <c r="R360" s="195"/>
      <c r="S360" s="195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</row>
    <row r="361" spans="17:45" s="54" customFormat="1" x14ac:dyDescent="0.25">
      <c r="Q361" s="195"/>
      <c r="R361" s="195"/>
      <c r="S361" s="195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</row>
    <row r="362" spans="17:45" s="54" customFormat="1" x14ac:dyDescent="0.25">
      <c r="Q362" s="195"/>
      <c r="R362" s="195"/>
      <c r="S362" s="195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</row>
    <row r="363" spans="17:45" s="54" customFormat="1" x14ac:dyDescent="0.25">
      <c r="Q363" s="195"/>
      <c r="R363" s="195"/>
      <c r="S363" s="195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</row>
    <row r="364" spans="17:45" s="54" customFormat="1" x14ac:dyDescent="0.25">
      <c r="Q364" s="195"/>
      <c r="R364" s="195"/>
      <c r="S364" s="195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</row>
    <row r="365" spans="17:45" s="54" customFormat="1" x14ac:dyDescent="0.25">
      <c r="Q365" s="195"/>
      <c r="R365" s="195"/>
      <c r="S365" s="195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</row>
    <row r="366" spans="17:45" s="54" customFormat="1" x14ac:dyDescent="0.25">
      <c r="Q366" s="195"/>
      <c r="R366" s="195"/>
      <c r="S366" s="195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</row>
    <row r="367" spans="17:45" s="54" customFormat="1" x14ac:dyDescent="0.25">
      <c r="Q367" s="195"/>
      <c r="R367" s="195"/>
      <c r="S367" s="195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</row>
    <row r="368" spans="17:45" s="54" customFormat="1" x14ac:dyDescent="0.25">
      <c r="Q368" s="195"/>
      <c r="R368" s="195"/>
      <c r="S368" s="195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</row>
    <row r="369" spans="17:45" s="54" customFormat="1" x14ac:dyDescent="0.25">
      <c r="Q369" s="195"/>
      <c r="R369" s="195"/>
      <c r="S369" s="195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</row>
    <row r="370" spans="17:45" s="54" customFormat="1" x14ac:dyDescent="0.25">
      <c r="Q370" s="195"/>
      <c r="R370" s="195"/>
      <c r="S370" s="195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</row>
    <row r="371" spans="17:45" s="54" customFormat="1" x14ac:dyDescent="0.25">
      <c r="Q371" s="195"/>
      <c r="R371" s="195"/>
      <c r="S371" s="195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</row>
    <row r="372" spans="17:45" s="54" customFormat="1" x14ac:dyDescent="0.25">
      <c r="Q372" s="195"/>
      <c r="R372" s="195"/>
      <c r="S372" s="195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</row>
    <row r="373" spans="17:45" s="54" customFormat="1" x14ac:dyDescent="0.25">
      <c r="Q373" s="195"/>
      <c r="R373" s="195"/>
      <c r="S373" s="195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</row>
    <row r="374" spans="17:45" s="54" customFormat="1" x14ac:dyDescent="0.25">
      <c r="Q374" s="195"/>
      <c r="R374" s="195"/>
      <c r="S374" s="195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</row>
    <row r="375" spans="17:45" s="54" customFormat="1" x14ac:dyDescent="0.25">
      <c r="Q375" s="195"/>
      <c r="R375" s="195"/>
      <c r="S375" s="195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</row>
    <row r="376" spans="17:45" s="54" customFormat="1" x14ac:dyDescent="0.25">
      <c r="Q376" s="195"/>
      <c r="R376" s="195"/>
      <c r="S376" s="195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</row>
    <row r="377" spans="17:45" s="54" customFormat="1" x14ac:dyDescent="0.25">
      <c r="Q377" s="195"/>
      <c r="R377" s="195"/>
      <c r="S377" s="195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</row>
    <row r="378" spans="17:45" s="54" customFormat="1" x14ac:dyDescent="0.25">
      <c r="Q378" s="195"/>
      <c r="R378" s="195"/>
      <c r="S378" s="195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</row>
    <row r="379" spans="17:45" s="54" customFormat="1" x14ac:dyDescent="0.25">
      <c r="Q379" s="195"/>
      <c r="R379" s="195"/>
      <c r="S379" s="195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</row>
    <row r="380" spans="17:45" s="54" customFormat="1" x14ac:dyDescent="0.25">
      <c r="Q380" s="195"/>
      <c r="R380" s="195"/>
      <c r="S380" s="195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</row>
    <row r="381" spans="17:45" s="54" customFormat="1" x14ac:dyDescent="0.25">
      <c r="Q381" s="195"/>
      <c r="R381" s="195"/>
      <c r="S381" s="195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</row>
    <row r="382" spans="17:45" s="54" customFormat="1" x14ac:dyDescent="0.25">
      <c r="Q382" s="195"/>
      <c r="R382" s="195"/>
      <c r="S382" s="195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</row>
    <row r="383" spans="17:45" s="54" customFormat="1" x14ac:dyDescent="0.25">
      <c r="Q383" s="195"/>
      <c r="R383" s="195"/>
      <c r="S383" s="195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</row>
    <row r="384" spans="17:45" s="54" customFormat="1" x14ac:dyDescent="0.25">
      <c r="Q384" s="195"/>
      <c r="R384" s="195"/>
      <c r="S384" s="195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</row>
    <row r="385" spans="17:45" s="54" customFormat="1" x14ac:dyDescent="0.25">
      <c r="Q385" s="195"/>
      <c r="R385" s="195"/>
      <c r="S385" s="195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</row>
    <row r="386" spans="17:45" s="54" customFormat="1" x14ac:dyDescent="0.25">
      <c r="Q386" s="195"/>
      <c r="R386" s="195"/>
      <c r="S386" s="195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</row>
    <row r="387" spans="17:45" s="54" customFormat="1" x14ac:dyDescent="0.25">
      <c r="Q387" s="195"/>
      <c r="R387" s="195"/>
      <c r="S387" s="195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</row>
    <row r="388" spans="17:45" s="54" customFormat="1" x14ac:dyDescent="0.25">
      <c r="Q388" s="195"/>
      <c r="R388" s="195"/>
      <c r="S388" s="195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</row>
    <row r="389" spans="17:45" s="54" customFormat="1" x14ac:dyDescent="0.25">
      <c r="Q389" s="195"/>
      <c r="R389" s="195"/>
      <c r="S389" s="195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</row>
    <row r="390" spans="17:45" s="54" customFormat="1" x14ac:dyDescent="0.25">
      <c r="Q390" s="195"/>
      <c r="R390" s="195"/>
      <c r="S390" s="195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</row>
    <row r="391" spans="17:45" s="54" customFormat="1" x14ac:dyDescent="0.25">
      <c r="Q391" s="195"/>
      <c r="R391" s="195"/>
      <c r="S391" s="195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</row>
    <row r="392" spans="17:45" s="54" customFormat="1" x14ac:dyDescent="0.25">
      <c r="Q392" s="195"/>
      <c r="R392" s="195"/>
      <c r="S392" s="195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</row>
    <row r="393" spans="17:45" s="54" customFormat="1" x14ac:dyDescent="0.25">
      <c r="Q393" s="195"/>
      <c r="R393" s="195"/>
      <c r="S393" s="195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</row>
    <row r="394" spans="17:45" s="54" customFormat="1" x14ac:dyDescent="0.25">
      <c r="Q394" s="195"/>
      <c r="R394" s="195"/>
      <c r="S394" s="195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</row>
    <row r="395" spans="17:45" s="54" customFormat="1" x14ac:dyDescent="0.25">
      <c r="Q395" s="195"/>
      <c r="R395" s="195"/>
      <c r="S395" s="195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</row>
    <row r="396" spans="17:45" s="54" customFormat="1" x14ac:dyDescent="0.25">
      <c r="Q396" s="195"/>
      <c r="R396" s="195"/>
      <c r="S396" s="195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</row>
    <row r="397" spans="17:45" s="54" customFormat="1" x14ac:dyDescent="0.25">
      <c r="Q397" s="195"/>
      <c r="R397" s="195"/>
      <c r="S397" s="195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</row>
    <row r="398" spans="17:45" s="54" customFormat="1" x14ac:dyDescent="0.25">
      <c r="Q398" s="195"/>
      <c r="R398" s="195"/>
      <c r="S398" s="195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</row>
    <row r="399" spans="17:45" s="54" customFormat="1" x14ac:dyDescent="0.25">
      <c r="Q399" s="195"/>
      <c r="R399" s="195"/>
      <c r="S399" s="195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</row>
    <row r="400" spans="17:45" s="54" customFormat="1" x14ac:dyDescent="0.25">
      <c r="Q400" s="195"/>
      <c r="R400" s="195"/>
      <c r="S400" s="195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</row>
    <row r="401" spans="17:45" s="54" customFormat="1" x14ac:dyDescent="0.25">
      <c r="Q401" s="195"/>
      <c r="R401" s="195"/>
      <c r="S401" s="195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</row>
    <row r="402" spans="17:45" s="54" customFormat="1" x14ac:dyDescent="0.25">
      <c r="Q402" s="195"/>
      <c r="R402" s="195"/>
      <c r="S402" s="195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</row>
    <row r="403" spans="17:45" s="54" customFormat="1" x14ac:dyDescent="0.25">
      <c r="Q403" s="195"/>
      <c r="R403" s="195"/>
      <c r="S403" s="195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</row>
    <row r="404" spans="17:45" s="54" customFormat="1" x14ac:dyDescent="0.25">
      <c r="Q404" s="195"/>
      <c r="R404" s="195"/>
      <c r="S404" s="195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</row>
    <row r="405" spans="17:45" s="54" customFormat="1" x14ac:dyDescent="0.25">
      <c r="Q405" s="195"/>
      <c r="R405" s="195"/>
      <c r="S405" s="195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</row>
    <row r="406" spans="17:45" s="54" customFormat="1" x14ac:dyDescent="0.25">
      <c r="Q406" s="195"/>
      <c r="R406" s="195"/>
      <c r="S406" s="195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</row>
    <row r="407" spans="17:45" s="54" customFormat="1" x14ac:dyDescent="0.25">
      <c r="Q407" s="195"/>
      <c r="R407" s="195"/>
      <c r="S407" s="195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</row>
    <row r="408" spans="17:45" s="54" customFormat="1" x14ac:dyDescent="0.25">
      <c r="Q408" s="195"/>
      <c r="R408" s="195"/>
      <c r="S408" s="195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</row>
    <row r="409" spans="17:45" s="54" customFormat="1" x14ac:dyDescent="0.25">
      <c r="Q409" s="195"/>
      <c r="R409" s="195"/>
      <c r="S409" s="195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</row>
    <row r="410" spans="17:45" s="54" customFormat="1" x14ac:dyDescent="0.25">
      <c r="Q410" s="195"/>
      <c r="R410" s="195"/>
      <c r="S410" s="195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</row>
    <row r="411" spans="17:45" s="54" customFormat="1" x14ac:dyDescent="0.25">
      <c r="Q411" s="195"/>
      <c r="R411" s="195"/>
      <c r="S411" s="195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</row>
    <row r="412" spans="17:45" s="54" customFormat="1" x14ac:dyDescent="0.25">
      <c r="Q412" s="195"/>
      <c r="R412" s="195"/>
      <c r="S412" s="195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</row>
    <row r="413" spans="17:45" s="54" customFormat="1" x14ac:dyDescent="0.25">
      <c r="Q413" s="195"/>
      <c r="R413" s="195"/>
      <c r="S413" s="195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</row>
    <row r="414" spans="17:45" s="54" customFormat="1" x14ac:dyDescent="0.25">
      <c r="Q414" s="195"/>
      <c r="R414" s="195"/>
      <c r="S414" s="195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</row>
    <row r="415" spans="17:45" s="54" customFormat="1" x14ac:dyDescent="0.25">
      <c r="Q415" s="195"/>
      <c r="R415" s="195"/>
      <c r="S415" s="195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</row>
    <row r="416" spans="17:45" s="54" customFormat="1" x14ac:dyDescent="0.25">
      <c r="Q416" s="195"/>
      <c r="R416" s="195"/>
      <c r="S416" s="195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</row>
    <row r="417" spans="17:45" s="54" customFormat="1" x14ac:dyDescent="0.25">
      <c r="Q417" s="195"/>
      <c r="R417" s="195"/>
      <c r="S417" s="195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</row>
    <row r="418" spans="17:45" s="54" customFormat="1" x14ac:dyDescent="0.25">
      <c r="Q418" s="195"/>
      <c r="R418" s="195"/>
      <c r="S418" s="195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</row>
    <row r="419" spans="17:45" s="54" customFormat="1" x14ac:dyDescent="0.25">
      <c r="Q419" s="195"/>
      <c r="R419" s="195"/>
      <c r="S419" s="195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</row>
    <row r="420" spans="17:45" s="54" customFormat="1" x14ac:dyDescent="0.25">
      <c r="Q420" s="195"/>
      <c r="R420" s="195"/>
      <c r="S420" s="195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</row>
    <row r="421" spans="17:45" s="54" customFormat="1" x14ac:dyDescent="0.25">
      <c r="Q421" s="195"/>
      <c r="R421" s="195"/>
      <c r="S421" s="195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</row>
    <row r="422" spans="17:45" s="54" customFormat="1" x14ac:dyDescent="0.25">
      <c r="Q422" s="195"/>
      <c r="R422" s="195"/>
      <c r="S422" s="195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</row>
    <row r="423" spans="17:45" s="54" customFormat="1" x14ac:dyDescent="0.25">
      <c r="Q423" s="195"/>
      <c r="R423" s="195"/>
      <c r="S423" s="195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</row>
    <row r="424" spans="17:45" s="54" customFormat="1" x14ac:dyDescent="0.25">
      <c r="Q424" s="195"/>
      <c r="R424" s="195"/>
      <c r="S424" s="195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</row>
    <row r="425" spans="17:45" s="54" customFormat="1" x14ac:dyDescent="0.25">
      <c r="Q425" s="195"/>
      <c r="R425" s="195"/>
      <c r="S425" s="195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</row>
    <row r="426" spans="17:45" s="54" customFormat="1" x14ac:dyDescent="0.25">
      <c r="Q426" s="195"/>
      <c r="R426" s="195"/>
      <c r="S426" s="195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</row>
    <row r="427" spans="17:45" s="54" customFormat="1" x14ac:dyDescent="0.25">
      <c r="Q427" s="195"/>
      <c r="R427" s="195"/>
      <c r="S427" s="195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</row>
    <row r="428" spans="17:45" s="54" customFormat="1" x14ac:dyDescent="0.25">
      <c r="Q428" s="195"/>
      <c r="R428" s="195"/>
      <c r="S428" s="195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</row>
    <row r="429" spans="17:45" s="54" customFormat="1" x14ac:dyDescent="0.25">
      <c r="Q429" s="195"/>
      <c r="R429" s="195"/>
      <c r="S429" s="195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</row>
    <row r="430" spans="17:45" s="54" customFormat="1" x14ac:dyDescent="0.25">
      <c r="Q430" s="195"/>
      <c r="R430" s="195"/>
      <c r="S430" s="195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</row>
    <row r="431" spans="17:45" s="54" customFormat="1" x14ac:dyDescent="0.25">
      <c r="Q431" s="195"/>
      <c r="R431" s="195"/>
      <c r="S431" s="195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</row>
    <row r="432" spans="17:45" s="54" customFormat="1" x14ac:dyDescent="0.25">
      <c r="Q432" s="195"/>
      <c r="R432" s="195"/>
      <c r="S432" s="195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</row>
    <row r="433" spans="17:45" s="54" customFormat="1" x14ac:dyDescent="0.25">
      <c r="Q433" s="195"/>
      <c r="R433" s="195"/>
      <c r="S433" s="195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</row>
    <row r="434" spans="17:45" s="54" customFormat="1" x14ac:dyDescent="0.25">
      <c r="Q434" s="195"/>
      <c r="R434" s="195"/>
      <c r="S434" s="195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</row>
    <row r="435" spans="17:45" s="54" customFormat="1" x14ac:dyDescent="0.25">
      <c r="Q435" s="195"/>
      <c r="R435" s="195"/>
      <c r="S435" s="195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</row>
    <row r="436" spans="17:45" s="54" customFormat="1" x14ac:dyDescent="0.25">
      <c r="Q436" s="195"/>
      <c r="R436" s="195"/>
      <c r="S436" s="195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</row>
    <row r="437" spans="17:45" s="54" customFormat="1" x14ac:dyDescent="0.25">
      <c r="Q437" s="195"/>
      <c r="R437" s="195"/>
      <c r="S437" s="195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</row>
    <row r="438" spans="17:45" s="54" customFormat="1" x14ac:dyDescent="0.25">
      <c r="Q438" s="195"/>
      <c r="R438" s="195"/>
      <c r="S438" s="195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</row>
    <row r="439" spans="17:45" s="54" customFormat="1" x14ac:dyDescent="0.25">
      <c r="Q439" s="195"/>
      <c r="R439" s="195"/>
      <c r="S439" s="195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</row>
    <row r="440" spans="17:45" s="54" customFormat="1" x14ac:dyDescent="0.25">
      <c r="Q440" s="195"/>
      <c r="R440" s="195"/>
      <c r="S440" s="195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</row>
    <row r="441" spans="17:45" s="54" customFormat="1" x14ac:dyDescent="0.25">
      <c r="Q441" s="195"/>
      <c r="R441" s="195"/>
      <c r="S441" s="195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</row>
    <row r="442" spans="17:45" s="54" customFormat="1" x14ac:dyDescent="0.25">
      <c r="Q442" s="195"/>
      <c r="R442" s="195"/>
      <c r="S442" s="195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</row>
    <row r="443" spans="17:45" s="54" customFormat="1" x14ac:dyDescent="0.25">
      <c r="Q443" s="195"/>
      <c r="R443" s="195"/>
      <c r="S443" s="195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</row>
    <row r="444" spans="17:45" s="54" customFormat="1" x14ac:dyDescent="0.25">
      <c r="Q444" s="195"/>
      <c r="R444" s="195"/>
      <c r="S444" s="195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</row>
    <row r="445" spans="17:45" s="54" customFormat="1" x14ac:dyDescent="0.25">
      <c r="Q445" s="195"/>
      <c r="R445" s="195"/>
      <c r="S445" s="195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</row>
    <row r="446" spans="17:45" s="54" customFormat="1" x14ac:dyDescent="0.25">
      <c r="Q446" s="195"/>
      <c r="R446" s="195"/>
      <c r="S446" s="195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</row>
    <row r="447" spans="17:45" s="54" customFormat="1" x14ac:dyDescent="0.25">
      <c r="Q447" s="195"/>
      <c r="R447" s="195"/>
      <c r="S447" s="195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</row>
    <row r="448" spans="17:45" s="54" customFormat="1" x14ac:dyDescent="0.25">
      <c r="Q448" s="195"/>
      <c r="R448" s="195"/>
      <c r="S448" s="195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</row>
    <row r="449" spans="17:45" s="54" customFormat="1" x14ac:dyDescent="0.25">
      <c r="Q449" s="195"/>
      <c r="R449" s="195"/>
      <c r="S449" s="195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</row>
    <row r="450" spans="17:45" s="54" customFormat="1" x14ac:dyDescent="0.25">
      <c r="Q450" s="195"/>
      <c r="R450" s="195"/>
      <c r="S450" s="195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</row>
    <row r="451" spans="17:45" s="54" customFormat="1" x14ac:dyDescent="0.25">
      <c r="Q451" s="195"/>
      <c r="R451" s="195"/>
      <c r="S451" s="195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</row>
    <row r="452" spans="17:45" s="54" customFormat="1" x14ac:dyDescent="0.25">
      <c r="Q452" s="195"/>
      <c r="R452" s="195"/>
      <c r="S452" s="195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</row>
    <row r="453" spans="17:45" s="54" customFormat="1" x14ac:dyDescent="0.25">
      <c r="Q453" s="195"/>
      <c r="R453" s="195"/>
      <c r="S453" s="195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</row>
    <row r="454" spans="17:45" s="54" customFormat="1" x14ac:dyDescent="0.25">
      <c r="Q454" s="195"/>
      <c r="R454" s="195"/>
      <c r="S454" s="195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</row>
    <row r="455" spans="17:45" s="54" customFormat="1" x14ac:dyDescent="0.25">
      <c r="Q455" s="195"/>
      <c r="R455" s="195"/>
      <c r="S455" s="195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</row>
    <row r="456" spans="17:45" s="54" customFormat="1" x14ac:dyDescent="0.25">
      <c r="Q456" s="195"/>
      <c r="R456" s="195"/>
      <c r="S456" s="195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</row>
    <row r="457" spans="17:45" s="54" customFormat="1" x14ac:dyDescent="0.25">
      <c r="Q457" s="195"/>
      <c r="R457" s="195"/>
      <c r="S457" s="195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</row>
    <row r="458" spans="17:45" s="54" customFormat="1" x14ac:dyDescent="0.25">
      <c r="Q458" s="195"/>
      <c r="R458" s="195"/>
      <c r="S458" s="195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  <c r="AQ458" s="90"/>
      <c r="AR458" s="90"/>
      <c r="AS458" s="90"/>
    </row>
    <row r="459" spans="17:45" s="54" customFormat="1" x14ac:dyDescent="0.25">
      <c r="Q459" s="195"/>
      <c r="R459" s="195"/>
      <c r="S459" s="195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</row>
    <row r="460" spans="17:45" s="54" customFormat="1" x14ac:dyDescent="0.25">
      <c r="Q460" s="195"/>
      <c r="R460" s="195"/>
      <c r="S460" s="195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  <c r="AQ460" s="90"/>
      <c r="AR460" s="90"/>
      <c r="AS460" s="90"/>
    </row>
    <row r="461" spans="17:45" s="54" customFormat="1" x14ac:dyDescent="0.25">
      <c r="Q461" s="195"/>
      <c r="R461" s="195"/>
      <c r="S461" s="195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</row>
    <row r="462" spans="17:45" s="54" customFormat="1" x14ac:dyDescent="0.25">
      <c r="Q462" s="195"/>
      <c r="R462" s="195"/>
      <c r="S462" s="195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  <c r="AQ462" s="90"/>
      <c r="AR462" s="90"/>
      <c r="AS462" s="90"/>
    </row>
    <row r="463" spans="17:45" s="54" customFormat="1" x14ac:dyDescent="0.25">
      <c r="Q463" s="195"/>
      <c r="R463" s="195"/>
      <c r="S463" s="195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</row>
    <row r="464" spans="17:45" s="54" customFormat="1" x14ac:dyDescent="0.25">
      <c r="Q464" s="195"/>
      <c r="R464" s="195"/>
      <c r="S464" s="195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90"/>
      <c r="AQ464" s="90"/>
      <c r="AR464" s="90"/>
      <c r="AS464" s="90"/>
    </row>
    <row r="465" spans="17:45" s="54" customFormat="1" x14ac:dyDescent="0.25">
      <c r="Q465" s="195"/>
      <c r="R465" s="195"/>
      <c r="S465" s="195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  <c r="AQ465" s="90"/>
      <c r="AR465" s="90"/>
      <c r="AS465" s="90"/>
    </row>
    <row r="466" spans="17:45" s="54" customFormat="1" x14ac:dyDescent="0.25">
      <c r="Q466" s="195"/>
      <c r="R466" s="195"/>
      <c r="S466" s="195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  <c r="AL466" s="90"/>
      <c r="AM466" s="90"/>
      <c r="AN466" s="90"/>
      <c r="AO466" s="90"/>
      <c r="AP466" s="90"/>
      <c r="AQ466" s="90"/>
      <c r="AR466" s="90"/>
      <c r="AS466" s="90"/>
    </row>
    <row r="467" spans="17:45" s="54" customFormat="1" x14ac:dyDescent="0.25">
      <c r="Q467" s="195"/>
      <c r="R467" s="195"/>
      <c r="S467" s="195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  <c r="AP467" s="90"/>
      <c r="AQ467" s="90"/>
      <c r="AR467" s="90"/>
      <c r="AS467" s="90"/>
    </row>
  </sheetData>
  <autoFilter ref="A14:BN61" xr:uid="{2FE2CC2D-C3C4-4AEB-AE1D-C391D8F60536}"/>
  <mergeCells count="15">
    <mergeCell ref="L13:P13"/>
    <mergeCell ref="Q13:S13"/>
    <mergeCell ref="D64:H64"/>
    <mergeCell ref="L64:O64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60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C595-8BE9-4680-8B13-29D603EE726D}">
  <sheetPr>
    <tabColor rgb="FF00B050"/>
    <pageSetUpPr fitToPage="1"/>
  </sheetPr>
  <dimension ref="A1:BQ465"/>
  <sheetViews>
    <sheetView showZeros="0" topLeftCell="A43" zoomScale="90" zoomScaleNormal="90" workbookViewId="0">
      <selection activeCell="F58" sqref="F15:P58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7" width="8.28515625" style="4" customWidth="1"/>
    <col min="8" max="15" width="10.7109375" style="4" customWidth="1"/>
    <col min="16" max="16" width="13.28515625" style="4" customWidth="1"/>
    <col min="17" max="19" width="5.7109375" style="195" customWidth="1" outlineLevel="1"/>
    <col min="20" max="22" width="10.7109375" style="90" customWidth="1" outlineLevel="1"/>
    <col min="23" max="45" width="10.7109375" style="90" customWidth="1"/>
    <col min="46" max="66" width="8.85546875" style="54"/>
    <col min="67" max="16384" width="8.85546875" style="4"/>
  </cols>
  <sheetData>
    <row r="1" spans="1:69" ht="15" x14ac:dyDescent="0.2">
      <c r="A1" s="408" t="s">
        <v>520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69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69" ht="15" x14ac:dyDescent="0.2">
      <c r="A3" s="409" t="str">
        <f>Kopsavilkums!C26</f>
        <v>Telpu apdares darbi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4" spans="1:69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</row>
    <row r="5" spans="1:69" x14ac:dyDescent="0.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69" x14ac:dyDescent="0.2">
      <c r="A6" s="1" t="s">
        <v>64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69" x14ac:dyDescent="0.2">
      <c r="A7" s="1" t="s">
        <v>65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69" x14ac:dyDescent="0.2">
      <c r="A8" s="2" t="s">
        <v>66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69" x14ac:dyDescent="0.2">
      <c r="A9" s="1" t="s">
        <v>54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0</v>
      </c>
      <c r="P9" s="18">
        <f>P59</f>
        <v>0</v>
      </c>
    </row>
    <row r="10" spans="1:69" ht="4.9000000000000004" customHeight="1" x14ac:dyDescent="0.2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69" x14ac:dyDescent="0.2">
      <c r="A11" s="107" t="s">
        <v>67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 xml:space="preserve">Tāme sastādīta: </v>
      </c>
    </row>
    <row r="12" spans="1:69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69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</v>
      </c>
      <c r="E13" s="418" t="s">
        <v>5</v>
      </c>
      <c r="F13" s="412" t="s">
        <v>6</v>
      </c>
      <c r="G13" s="420" t="s">
        <v>19</v>
      </c>
      <c r="H13" s="404" t="s">
        <v>7</v>
      </c>
      <c r="I13" s="405"/>
      <c r="J13" s="405"/>
      <c r="K13" s="406"/>
      <c r="L13" s="405" t="s">
        <v>8</v>
      </c>
      <c r="M13" s="405"/>
      <c r="N13" s="405"/>
      <c r="O13" s="405"/>
      <c r="P13" s="406"/>
      <c r="Q13" s="403"/>
      <c r="R13" s="403"/>
      <c r="S13" s="403"/>
    </row>
    <row r="14" spans="1:69" ht="34.9" customHeight="1" thickBot="1" x14ac:dyDescent="0.25">
      <c r="A14" s="413"/>
      <c r="B14" s="415"/>
      <c r="C14" s="415"/>
      <c r="D14" s="417"/>
      <c r="E14" s="419"/>
      <c r="F14" s="413"/>
      <c r="G14" s="421"/>
      <c r="H14" s="56" t="s">
        <v>17</v>
      </c>
      <c r="I14" s="60" t="s">
        <v>16</v>
      </c>
      <c r="J14" s="57" t="s">
        <v>15</v>
      </c>
      <c r="K14" s="58" t="s">
        <v>18</v>
      </c>
      <c r="L14" s="58" t="s">
        <v>9</v>
      </c>
      <c r="M14" s="56" t="s">
        <v>17</v>
      </c>
      <c r="N14" s="60" t="s">
        <v>16</v>
      </c>
      <c r="O14" s="57" t="s">
        <v>15</v>
      </c>
      <c r="P14" s="59" t="s">
        <v>14</v>
      </c>
      <c r="Q14" s="196"/>
      <c r="R14" s="196"/>
      <c r="S14" s="196"/>
    </row>
    <row r="15" spans="1:69" x14ac:dyDescent="0.2">
      <c r="A15" s="333"/>
      <c r="B15" s="138"/>
      <c r="C15" s="177" t="str">
        <f>A3</f>
        <v>Telpu apdares darbi</v>
      </c>
      <c r="D15" s="139"/>
      <c r="E15" s="140"/>
      <c r="F15" s="119"/>
      <c r="G15" s="61"/>
      <c r="H15" s="26"/>
      <c r="I15" s="27"/>
      <c r="J15" s="27"/>
      <c r="K15" s="25"/>
      <c r="L15" s="25"/>
      <c r="M15" s="26"/>
      <c r="N15" s="27"/>
      <c r="O15" s="28"/>
      <c r="P15" s="29"/>
    </row>
    <row r="16" spans="1:69" s="184" customFormat="1" ht="11.25" x14ac:dyDescent="0.15">
      <c r="A16" s="334"/>
      <c r="B16" s="186"/>
      <c r="C16" s="178" t="s">
        <v>528</v>
      </c>
      <c r="D16" s="178"/>
      <c r="E16" s="191"/>
      <c r="F16" s="26"/>
      <c r="G16" s="61"/>
      <c r="H16" s="26"/>
      <c r="I16" s="27"/>
      <c r="J16" s="27"/>
      <c r="K16" s="25"/>
      <c r="L16" s="25"/>
      <c r="M16" s="26"/>
      <c r="N16" s="27"/>
      <c r="O16" s="28"/>
      <c r="P16" s="29"/>
      <c r="Q16" s="195"/>
      <c r="R16" s="195"/>
      <c r="S16" s="195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</row>
    <row r="17" spans="1:69" s="184" customFormat="1" ht="11.25" x14ac:dyDescent="0.15">
      <c r="A17" s="334" t="s">
        <v>34</v>
      </c>
      <c r="B17" s="186"/>
      <c r="C17" s="206" t="s">
        <v>481</v>
      </c>
      <c r="D17" s="180" t="s">
        <v>43</v>
      </c>
      <c r="E17" s="258">
        <v>133.6</v>
      </c>
      <c r="F17" s="26"/>
      <c r="G17" s="61"/>
      <c r="H17" s="26"/>
      <c r="I17" s="27"/>
      <c r="J17" s="27"/>
      <c r="K17" s="25"/>
      <c r="L17" s="25"/>
      <c r="M17" s="26"/>
      <c r="N17" s="27"/>
      <c r="O17" s="28"/>
      <c r="P17" s="29"/>
      <c r="Q17" s="195"/>
      <c r="R17" s="195"/>
      <c r="S17" s="195"/>
      <c r="T17" s="90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</row>
    <row r="18" spans="1:69" s="184" customFormat="1" ht="22.5" x14ac:dyDescent="0.15">
      <c r="A18" s="334"/>
      <c r="B18" s="186"/>
      <c r="C18" s="185" t="s">
        <v>482</v>
      </c>
      <c r="D18" s="180" t="s">
        <v>50</v>
      </c>
      <c r="E18" s="258">
        <f>ROUND(E17*0.25,2)</f>
        <v>33.4</v>
      </c>
      <c r="F18" s="26"/>
      <c r="G18" s="61"/>
      <c r="H18" s="26"/>
      <c r="I18" s="27"/>
      <c r="J18" s="27"/>
      <c r="K18" s="25"/>
      <c r="L18" s="25"/>
      <c r="M18" s="26"/>
      <c r="N18" s="27"/>
      <c r="O18" s="28"/>
      <c r="P18" s="29"/>
      <c r="Q18" s="195"/>
      <c r="R18" s="195"/>
      <c r="S18" s="195"/>
      <c r="T18" s="90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</row>
    <row r="19" spans="1:69" s="184" customFormat="1" ht="22.5" x14ac:dyDescent="0.15">
      <c r="A19" s="334"/>
      <c r="B19" s="186"/>
      <c r="C19" s="185" t="s">
        <v>483</v>
      </c>
      <c r="D19" s="180" t="s">
        <v>50</v>
      </c>
      <c r="E19" s="258">
        <f>ROUND(E17*10,2)</f>
        <v>1336</v>
      </c>
      <c r="F19" s="26"/>
      <c r="G19" s="61"/>
      <c r="H19" s="26"/>
      <c r="I19" s="27"/>
      <c r="J19" s="27"/>
      <c r="K19" s="25"/>
      <c r="L19" s="25"/>
      <c r="M19" s="26"/>
      <c r="N19" s="27"/>
      <c r="O19" s="28"/>
      <c r="P19" s="29"/>
      <c r="Q19" s="195"/>
      <c r="R19" s="195"/>
      <c r="S19" s="195"/>
      <c r="T19" s="207"/>
      <c r="U19" s="207"/>
      <c r="V19" s="207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</row>
    <row r="20" spans="1:69" s="184" customFormat="1" ht="22.5" x14ac:dyDescent="0.15">
      <c r="A20" s="334"/>
      <c r="B20" s="186"/>
      <c r="C20" s="185" t="s">
        <v>484</v>
      </c>
      <c r="D20" s="180" t="s">
        <v>43</v>
      </c>
      <c r="E20" s="258">
        <f>ROUND(E17*1.2,2)</f>
        <v>160.32</v>
      </c>
      <c r="F20" s="26"/>
      <c r="G20" s="61"/>
      <c r="H20" s="26"/>
      <c r="I20" s="27"/>
      <c r="J20" s="27"/>
      <c r="K20" s="25"/>
      <c r="L20" s="25"/>
      <c r="M20" s="26"/>
      <c r="N20" s="27"/>
      <c r="O20" s="28"/>
      <c r="P20" s="29"/>
      <c r="Q20" s="195"/>
      <c r="R20" s="195"/>
      <c r="S20" s="195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</row>
    <row r="21" spans="1:69" s="230" customFormat="1" ht="11.25" x14ac:dyDescent="0.15">
      <c r="A21" s="225"/>
      <c r="B21" s="226"/>
      <c r="C21" s="185" t="s">
        <v>252</v>
      </c>
      <c r="D21" s="180" t="s">
        <v>43</v>
      </c>
      <c r="E21" s="258">
        <f>E17</f>
        <v>133.6</v>
      </c>
      <c r="F21" s="221"/>
      <c r="G21" s="237"/>
      <c r="H21" s="221"/>
      <c r="I21" s="222"/>
      <c r="J21" s="222"/>
      <c r="K21" s="25"/>
      <c r="L21" s="25"/>
      <c r="M21" s="26"/>
      <c r="N21" s="27"/>
      <c r="O21" s="28"/>
      <c r="P21" s="29"/>
      <c r="Q21" s="195"/>
      <c r="R21" s="195"/>
      <c r="S21" s="195"/>
      <c r="T21" s="229"/>
      <c r="U21" s="212"/>
      <c r="V21" s="207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29"/>
      <c r="BA21" s="229"/>
      <c r="BB21" s="229"/>
      <c r="BC21" s="229"/>
      <c r="BD21" s="229"/>
      <c r="BE21" s="229"/>
      <c r="BF21" s="229"/>
      <c r="BG21" s="229"/>
      <c r="BH21" s="229"/>
      <c r="BI21" s="229"/>
      <c r="BJ21" s="229"/>
      <c r="BK21" s="229"/>
      <c r="BL21" s="229"/>
      <c r="BM21" s="229"/>
      <c r="BN21" s="229"/>
      <c r="BO21" s="229"/>
      <c r="BP21" s="229"/>
    </row>
    <row r="22" spans="1:69" s="220" customFormat="1" x14ac:dyDescent="0.2">
      <c r="A22" s="334"/>
      <c r="B22" s="182"/>
      <c r="C22" s="178" t="s">
        <v>485</v>
      </c>
      <c r="D22" s="180"/>
      <c r="E22" s="261"/>
      <c r="F22" s="221"/>
      <c r="G22" s="237"/>
      <c r="H22" s="221"/>
      <c r="I22" s="222"/>
      <c r="J22" s="222"/>
      <c r="K22" s="25"/>
      <c r="L22" s="25"/>
      <c r="M22" s="26"/>
      <c r="N22" s="27"/>
      <c r="O22" s="28"/>
      <c r="P22" s="29"/>
      <c r="Q22" s="195"/>
      <c r="R22" s="195"/>
      <c r="S22" s="195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</row>
    <row r="23" spans="1:69" s="220" customFormat="1" ht="33.75" x14ac:dyDescent="0.2">
      <c r="A23" s="334" t="s">
        <v>35</v>
      </c>
      <c r="B23" s="182"/>
      <c r="C23" s="206" t="s">
        <v>486</v>
      </c>
      <c r="D23" s="180" t="s">
        <v>43</v>
      </c>
      <c r="E23" s="181">
        <f>E17</f>
        <v>133.6</v>
      </c>
      <c r="F23" s="221"/>
      <c r="G23" s="237"/>
      <c r="H23" s="221"/>
      <c r="I23" s="222"/>
      <c r="J23" s="222"/>
      <c r="K23" s="25"/>
      <c r="L23" s="25"/>
      <c r="M23" s="26"/>
      <c r="N23" s="27"/>
      <c r="O23" s="28"/>
      <c r="P23" s="29"/>
      <c r="Q23" s="195"/>
      <c r="R23" s="195"/>
      <c r="S23" s="195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</row>
    <row r="24" spans="1:69" s="220" customFormat="1" x14ac:dyDescent="0.2">
      <c r="A24" s="334"/>
      <c r="B24" s="186"/>
      <c r="C24" s="364" t="s">
        <v>487</v>
      </c>
      <c r="D24" s="259" t="s">
        <v>55</v>
      </c>
      <c r="E24" s="260">
        <f>ROUND(E23*0.25,2)</f>
        <v>33.4</v>
      </c>
      <c r="F24" s="221"/>
      <c r="G24" s="237"/>
      <c r="H24" s="221"/>
      <c r="I24" s="222"/>
      <c r="J24" s="222"/>
      <c r="K24" s="25"/>
      <c r="L24" s="25"/>
      <c r="M24" s="26"/>
      <c r="N24" s="27"/>
      <c r="O24" s="28"/>
      <c r="P24" s="29"/>
      <c r="Q24" s="195"/>
      <c r="R24" s="195"/>
      <c r="S24" s="195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</row>
    <row r="25" spans="1:69" s="220" customFormat="1" x14ac:dyDescent="0.2">
      <c r="A25" s="334"/>
      <c r="B25" s="182"/>
      <c r="C25" s="185" t="s">
        <v>488</v>
      </c>
      <c r="D25" s="180" t="s">
        <v>50</v>
      </c>
      <c r="E25" s="181">
        <f>ROUND(E23*3,2)</f>
        <v>400.8</v>
      </c>
      <c r="F25" s="26"/>
      <c r="G25" s="61"/>
      <c r="H25" s="221"/>
      <c r="I25" s="222"/>
      <c r="J25" s="222"/>
      <c r="K25" s="25"/>
      <c r="L25" s="25"/>
      <c r="M25" s="26"/>
      <c r="N25" s="27"/>
      <c r="O25" s="28"/>
      <c r="P25" s="29"/>
      <c r="Q25" s="195"/>
      <c r="R25" s="195"/>
      <c r="S25" s="195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</row>
    <row r="26" spans="1:69" s="220" customFormat="1" ht="22.5" x14ac:dyDescent="0.2">
      <c r="A26" s="334"/>
      <c r="B26" s="182"/>
      <c r="C26" s="364" t="s">
        <v>489</v>
      </c>
      <c r="D26" s="180" t="s">
        <v>50</v>
      </c>
      <c r="E26" s="181">
        <f>ROUND(E23*2,2)</f>
        <v>267.2</v>
      </c>
      <c r="F26" s="26"/>
      <c r="G26" s="61"/>
      <c r="H26" s="221"/>
      <c r="I26" s="222"/>
      <c r="J26" s="222"/>
      <c r="K26" s="25"/>
      <c r="L26" s="25"/>
      <c r="M26" s="26"/>
      <c r="N26" s="27"/>
      <c r="O26" s="28"/>
      <c r="P26" s="29"/>
      <c r="Q26" s="195"/>
      <c r="R26" s="195"/>
      <c r="S26" s="195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</row>
    <row r="27" spans="1:69" s="220" customFormat="1" x14ac:dyDescent="0.2">
      <c r="A27" s="334"/>
      <c r="B27" s="186"/>
      <c r="C27" s="185" t="s">
        <v>252</v>
      </c>
      <c r="D27" s="180" t="s">
        <v>43</v>
      </c>
      <c r="E27" s="258">
        <f>E23</f>
        <v>133.6</v>
      </c>
      <c r="F27" s="26"/>
      <c r="G27" s="61"/>
      <c r="H27" s="221"/>
      <c r="I27" s="222"/>
      <c r="J27" s="222"/>
      <c r="K27" s="25"/>
      <c r="L27" s="25"/>
      <c r="M27" s="26"/>
      <c r="N27" s="27"/>
      <c r="O27" s="28"/>
      <c r="P27" s="29"/>
      <c r="Q27" s="195"/>
      <c r="R27" s="195"/>
      <c r="S27" s="195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</row>
    <row r="28" spans="1:69" s="184" customFormat="1" ht="22.5" x14ac:dyDescent="0.15">
      <c r="A28" s="334" t="s">
        <v>36</v>
      </c>
      <c r="B28" s="182"/>
      <c r="C28" s="236" t="s">
        <v>522</v>
      </c>
      <c r="D28" s="121" t="s">
        <v>43</v>
      </c>
      <c r="E28" s="126">
        <v>51.2</v>
      </c>
      <c r="F28" s="26"/>
      <c r="G28" s="61"/>
      <c r="H28" s="26"/>
      <c r="I28" s="27"/>
      <c r="J28" s="27"/>
      <c r="K28" s="25"/>
      <c r="L28" s="25"/>
      <c r="M28" s="26"/>
      <c r="N28" s="27"/>
      <c r="O28" s="28"/>
      <c r="P28" s="29"/>
      <c r="Q28" s="195"/>
      <c r="R28" s="195"/>
      <c r="S28" s="195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</row>
    <row r="29" spans="1:69" s="184" customFormat="1" ht="11.25" x14ac:dyDescent="0.15">
      <c r="A29" s="334"/>
      <c r="B29" s="176"/>
      <c r="C29" s="185" t="s">
        <v>487</v>
      </c>
      <c r="D29" s="180" t="s">
        <v>55</v>
      </c>
      <c r="E29" s="181">
        <f>ROUND(E28*0.2,2)</f>
        <v>10.24</v>
      </c>
      <c r="F29" s="26"/>
      <c r="G29" s="61"/>
      <c r="H29" s="26"/>
      <c r="I29" s="27"/>
      <c r="J29" s="27"/>
      <c r="K29" s="25"/>
      <c r="L29" s="25"/>
      <c r="M29" s="26"/>
      <c r="N29" s="27"/>
      <c r="O29" s="28"/>
      <c r="P29" s="29"/>
      <c r="Q29" s="195"/>
      <c r="R29" s="195"/>
      <c r="S29" s="195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</row>
    <row r="30" spans="1:69" s="184" customFormat="1" ht="11.25" x14ac:dyDescent="0.15">
      <c r="A30" s="334"/>
      <c r="B30" s="186"/>
      <c r="C30" s="364" t="s">
        <v>523</v>
      </c>
      <c r="D30" s="180" t="s">
        <v>259</v>
      </c>
      <c r="E30" s="181">
        <f>ROUND(E28*1.5,2)</f>
        <v>76.8</v>
      </c>
      <c r="F30" s="26"/>
      <c r="G30" s="61"/>
      <c r="H30" s="26"/>
      <c r="I30" s="27"/>
      <c r="J30" s="27"/>
      <c r="K30" s="25"/>
      <c r="L30" s="25"/>
      <c r="M30" s="26"/>
      <c r="N30" s="27"/>
      <c r="O30" s="28"/>
      <c r="P30" s="29"/>
      <c r="Q30" s="195"/>
      <c r="R30" s="195"/>
      <c r="S30" s="195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</row>
    <row r="31" spans="1:69" s="184" customFormat="1" ht="11.25" x14ac:dyDescent="0.15">
      <c r="A31" s="334"/>
      <c r="B31" s="176"/>
      <c r="C31" s="185" t="s">
        <v>524</v>
      </c>
      <c r="D31" s="180" t="s">
        <v>50</v>
      </c>
      <c r="E31" s="181">
        <f>ROUND(E28*0.5,2)</f>
        <v>25.6</v>
      </c>
      <c r="F31" s="26"/>
      <c r="G31" s="61"/>
      <c r="H31" s="26"/>
      <c r="I31" s="27"/>
      <c r="J31" s="27"/>
      <c r="K31" s="25"/>
      <c r="L31" s="25"/>
      <c r="M31" s="26"/>
      <c r="N31" s="27"/>
      <c r="O31" s="28"/>
      <c r="P31" s="29"/>
      <c r="Q31" s="195"/>
      <c r="R31" s="195"/>
      <c r="S31" s="195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</row>
    <row r="32" spans="1:69" s="184" customFormat="1" ht="22.5" x14ac:dyDescent="0.15">
      <c r="A32" s="334"/>
      <c r="B32" s="186"/>
      <c r="C32" s="364" t="s">
        <v>489</v>
      </c>
      <c r="D32" s="180" t="s">
        <v>50</v>
      </c>
      <c r="E32" s="181">
        <f>ROUND(E28*2.5,2)</f>
        <v>128</v>
      </c>
      <c r="F32" s="26"/>
      <c r="G32" s="61"/>
      <c r="H32" s="26"/>
      <c r="I32" s="27"/>
      <c r="J32" s="27"/>
      <c r="K32" s="25"/>
      <c r="L32" s="25"/>
      <c r="M32" s="26"/>
      <c r="N32" s="27"/>
      <c r="O32" s="28"/>
      <c r="P32" s="29"/>
      <c r="Q32" s="195"/>
      <c r="R32" s="195"/>
      <c r="S32" s="195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</row>
    <row r="33" spans="1:69" s="184" customFormat="1" ht="11.25" x14ac:dyDescent="0.15">
      <c r="A33" s="334"/>
      <c r="B33" s="186"/>
      <c r="C33" s="187" t="s">
        <v>525</v>
      </c>
      <c r="D33" s="121" t="s">
        <v>43</v>
      </c>
      <c r="E33" s="126">
        <f>E28</f>
        <v>51.2</v>
      </c>
      <c r="F33" s="26"/>
      <c r="G33" s="61"/>
      <c r="H33" s="26"/>
      <c r="I33" s="27"/>
      <c r="J33" s="27"/>
      <c r="K33" s="25"/>
      <c r="L33" s="25"/>
      <c r="M33" s="26"/>
      <c r="N33" s="27"/>
      <c r="O33" s="28"/>
      <c r="P33" s="29"/>
      <c r="Q33" s="195"/>
      <c r="R33" s="195"/>
      <c r="S33" s="195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</row>
    <row r="34" spans="1:69" s="220" customFormat="1" x14ac:dyDescent="0.2">
      <c r="A34" s="334" t="s">
        <v>37</v>
      </c>
      <c r="B34" s="182"/>
      <c r="C34" s="206" t="s">
        <v>527</v>
      </c>
      <c r="D34" s="180" t="s">
        <v>43</v>
      </c>
      <c r="E34" s="181">
        <v>55.6</v>
      </c>
      <c r="F34" s="26"/>
      <c r="G34" s="61"/>
      <c r="H34" s="221"/>
      <c r="I34" s="222"/>
      <c r="J34" s="222"/>
      <c r="K34" s="25"/>
      <c r="L34" s="25"/>
      <c r="M34" s="26"/>
      <c r="N34" s="27"/>
      <c r="O34" s="28"/>
      <c r="P34" s="29"/>
      <c r="Q34" s="195"/>
      <c r="R34" s="195"/>
      <c r="S34" s="195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7"/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</row>
    <row r="35" spans="1:69" s="220" customFormat="1" x14ac:dyDescent="0.2">
      <c r="A35" s="225"/>
      <c r="B35" s="226"/>
      <c r="C35" s="185" t="s">
        <v>490</v>
      </c>
      <c r="D35" s="180" t="s">
        <v>55</v>
      </c>
      <c r="E35" s="181">
        <f>ROUND(E34*0.15,2)</f>
        <v>8.34</v>
      </c>
      <c r="F35" s="26"/>
      <c r="G35" s="61"/>
      <c r="H35" s="221"/>
      <c r="I35" s="222"/>
      <c r="J35" s="222"/>
      <c r="K35" s="25"/>
      <c r="L35" s="25"/>
      <c r="M35" s="26"/>
      <c r="N35" s="27"/>
      <c r="O35" s="28"/>
      <c r="P35" s="29"/>
      <c r="Q35" s="195"/>
      <c r="R35" s="195"/>
      <c r="S35" s="195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</row>
    <row r="36" spans="1:69" s="220" customFormat="1" x14ac:dyDescent="0.2">
      <c r="A36" s="334"/>
      <c r="B36" s="182"/>
      <c r="C36" s="185" t="s">
        <v>526</v>
      </c>
      <c r="D36" s="180" t="s">
        <v>55</v>
      </c>
      <c r="E36" s="181">
        <f>ROUND(E34*0.2,2)</f>
        <v>11.12</v>
      </c>
      <c r="F36" s="26"/>
      <c r="G36" s="61"/>
      <c r="H36" s="221"/>
      <c r="I36" s="222"/>
      <c r="J36" s="222"/>
      <c r="K36" s="25"/>
      <c r="L36" s="25"/>
      <c r="M36" s="26"/>
      <c r="N36" s="27"/>
      <c r="O36" s="28"/>
      <c r="P36" s="29"/>
      <c r="Q36" s="195"/>
      <c r="R36" s="195"/>
      <c r="S36" s="195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</row>
    <row r="37" spans="1:69" s="220" customFormat="1" ht="22.5" x14ac:dyDescent="0.2">
      <c r="A37" s="225"/>
      <c r="B37" s="226"/>
      <c r="C37" s="185" t="s">
        <v>491</v>
      </c>
      <c r="D37" s="180" t="s">
        <v>55</v>
      </c>
      <c r="E37" s="181">
        <f>SUM(E35:E36)</f>
        <v>19.46</v>
      </c>
      <c r="F37" s="26"/>
      <c r="G37" s="61"/>
      <c r="H37" s="221"/>
      <c r="I37" s="222"/>
      <c r="J37" s="222"/>
      <c r="K37" s="25"/>
      <c r="L37" s="25"/>
      <c r="M37" s="26"/>
      <c r="N37" s="27"/>
      <c r="O37" s="28"/>
      <c r="P37" s="29"/>
      <c r="Q37" s="195"/>
      <c r="R37" s="195"/>
      <c r="S37" s="195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</row>
    <row r="38" spans="1:69" s="220" customFormat="1" ht="22.5" x14ac:dyDescent="0.2">
      <c r="A38" s="334"/>
      <c r="B38" s="182"/>
      <c r="C38" s="185" t="s">
        <v>492</v>
      </c>
      <c r="D38" s="180" t="s">
        <v>43</v>
      </c>
      <c r="E38" s="258">
        <f>E34</f>
        <v>55.6</v>
      </c>
      <c r="F38" s="26"/>
      <c r="G38" s="61"/>
      <c r="H38" s="221"/>
      <c r="I38" s="222"/>
      <c r="J38" s="222"/>
      <c r="K38" s="25"/>
      <c r="L38" s="25"/>
      <c r="M38" s="26"/>
      <c r="N38" s="27"/>
      <c r="O38" s="28"/>
      <c r="P38" s="29"/>
      <c r="Q38" s="195"/>
      <c r="R38" s="195"/>
      <c r="S38" s="195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</row>
    <row r="39" spans="1:69" s="220" customFormat="1" ht="22.5" x14ac:dyDescent="0.2">
      <c r="A39" s="334" t="s">
        <v>38</v>
      </c>
      <c r="B39" s="182"/>
      <c r="C39" s="206" t="s">
        <v>690</v>
      </c>
      <c r="D39" s="180" t="s">
        <v>43</v>
      </c>
      <c r="E39" s="181">
        <v>121.5</v>
      </c>
      <c r="F39" s="26"/>
      <c r="G39" s="61"/>
      <c r="H39" s="221"/>
      <c r="I39" s="222"/>
      <c r="J39" s="222"/>
      <c r="K39" s="25"/>
      <c r="L39" s="25"/>
      <c r="M39" s="26"/>
      <c r="N39" s="27"/>
      <c r="O39" s="28"/>
      <c r="P39" s="29"/>
      <c r="Q39" s="195"/>
      <c r="R39" s="195"/>
      <c r="S39" s="195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</row>
    <row r="40" spans="1:69" s="220" customFormat="1" x14ac:dyDescent="0.2">
      <c r="A40" s="225"/>
      <c r="B40" s="226"/>
      <c r="C40" s="185" t="s">
        <v>691</v>
      </c>
      <c r="D40" s="180" t="s">
        <v>55</v>
      </c>
      <c r="E40" s="181">
        <f>E39/3</f>
        <v>40.5</v>
      </c>
      <c r="F40" s="26"/>
      <c r="G40" s="61"/>
      <c r="H40" s="221"/>
      <c r="I40" s="222"/>
      <c r="J40" s="222"/>
      <c r="K40" s="25"/>
      <c r="L40" s="25"/>
      <c r="M40" s="26"/>
      <c r="N40" s="27"/>
      <c r="O40" s="28"/>
      <c r="P40" s="29"/>
      <c r="Q40" s="195"/>
      <c r="R40" s="195"/>
      <c r="S40" s="195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</row>
    <row r="41" spans="1:69" s="184" customFormat="1" ht="11.25" x14ac:dyDescent="0.15">
      <c r="A41" s="334"/>
      <c r="B41" s="182"/>
      <c r="C41" s="178" t="s">
        <v>688</v>
      </c>
      <c r="D41" s="180"/>
      <c r="E41" s="261"/>
      <c r="F41" s="26"/>
      <c r="G41" s="61"/>
      <c r="H41" s="26"/>
      <c r="I41" s="27"/>
      <c r="J41" s="27"/>
      <c r="K41" s="25"/>
      <c r="L41" s="25"/>
      <c r="M41" s="26"/>
      <c r="N41" s="27"/>
      <c r="O41" s="28"/>
      <c r="P41" s="29"/>
      <c r="Q41" s="195"/>
      <c r="R41" s="195"/>
      <c r="S41" s="195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</row>
    <row r="42" spans="1:69" s="184" customFormat="1" ht="22.5" x14ac:dyDescent="0.15">
      <c r="A42" s="334" t="s">
        <v>39</v>
      </c>
      <c r="B42" s="176"/>
      <c r="C42" s="206" t="s">
        <v>689</v>
      </c>
      <c r="D42" s="180" t="s">
        <v>43</v>
      </c>
      <c r="E42" s="181">
        <v>20.8</v>
      </c>
      <c r="F42" s="26"/>
      <c r="G42" s="61"/>
      <c r="H42" s="26"/>
      <c r="I42" s="27"/>
      <c r="J42" s="27"/>
      <c r="K42" s="25"/>
      <c r="L42" s="25"/>
      <c r="M42" s="26"/>
      <c r="N42" s="27"/>
      <c r="O42" s="28"/>
      <c r="P42" s="29"/>
      <c r="Q42" s="195"/>
      <c r="R42" s="195"/>
      <c r="S42" s="195"/>
      <c r="T42" s="90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</row>
    <row r="43" spans="1:69" s="184" customFormat="1" ht="22.5" x14ac:dyDescent="0.15">
      <c r="A43" s="334"/>
      <c r="B43" s="186"/>
      <c r="C43" s="364" t="s">
        <v>493</v>
      </c>
      <c r="D43" s="259" t="s">
        <v>44</v>
      </c>
      <c r="E43" s="260">
        <f>ROUND(E42*1.5,2)</f>
        <v>31.2</v>
      </c>
      <c r="F43" s="26"/>
      <c r="G43" s="61"/>
      <c r="H43" s="26"/>
      <c r="I43" s="27"/>
      <c r="J43" s="27"/>
      <c r="K43" s="25"/>
      <c r="L43" s="25"/>
      <c r="M43" s="26"/>
      <c r="N43" s="27"/>
      <c r="O43" s="28"/>
      <c r="P43" s="29"/>
      <c r="Q43" s="195"/>
      <c r="R43" s="195"/>
      <c r="S43" s="195"/>
      <c r="T43" s="90"/>
      <c r="U43" s="102"/>
      <c r="V43" s="207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</row>
    <row r="44" spans="1:69" s="184" customFormat="1" ht="22.5" x14ac:dyDescent="0.15">
      <c r="A44" s="334"/>
      <c r="B44" s="186"/>
      <c r="C44" s="364" t="s">
        <v>494</v>
      </c>
      <c r="D44" s="259" t="s">
        <v>43</v>
      </c>
      <c r="E44" s="260">
        <f>ROUND(E42*1.2,2)</f>
        <v>24.96</v>
      </c>
      <c r="F44" s="26"/>
      <c r="G44" s="61"/>
      <c r="H44" s="26"/>
      <c r="I44" s="27"/>
      <c r="J44" s="27"/>
      <c r="K44" s="25"/>
      <c r="L44" s="25"/>
      <c r="M44" s="26"/>
      <c r="N44" s="27"/>
      <c r="O44" s="28"/>
      <c r="P44" s="29"/>
      <c r="Q44" s="195"/>
      <c r="R44" s="195"/>
      <c r="S44" s="195"/>
      <c r="T44" s="90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</row>
    <row r="45" spans="1:69" s="184" customFormat="1" ht="11.25" x14ac:dyDescent="0.15">
      <c r="A45" s="334"/>
      <c r="B45" s="182"/>
      <c r="C45" s="364" t="s">
        <v>495</v>
      </c>
      <c r="D45" s="259" t="s">
        <v>50</v>
      </c>
      <c r="E45" s="260">
        <f>ROUND(E42*3,2)</f>
        <v>62.4</v>
      </c>
      <c r="F45" s="26"/>
      <c r="G45" s="61"/>
      <c r="H45" s="26"/>
      <c r="I45" s="27"/>
      <c r="J45" s="27"/>
      <c r="K45" s="25"/>
      <c r="L45" s="25"/>
      <c r="M45" s="26"/>
      <c r="N45" s="27"/>
      <c r="O45" s="28"/>
      <c r="P45" s="29"/>
      <c r="Q45" s="195"/>
      <c r="R45" s="195"/>
      <c r="S45" s="195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</row>
    <row r="46" spans="1:69" s="184" customFormat="1" ht="11.25" x14ac:dyDescent="0.15">
      <c r="A46" s="334"/>
      <c r="B46" s="182"/>
      <c r="C46" s="364" t="s">
        <v>252</v>
      </c>
      <c r="D46" s="259" t="s">
        <v>43</v>
      </c>
      <c r="E46" s="260">
        <f>E42</f>
        <v>20.8</v>
      </c>
      <c r="F46" s="26"/>
      <c r="G46" s="61"/>
      <c r="H46" s="26"/>
      <c r="I46" s="27"/>
      <c r="J46" s="27"/>
      <c r="K46" s="25"/>
      <c r="L46" s="25"/>
      <c r="M46" s="26"/>
      <c r="N46" s="27"/>
      <c r="O46" s="28"/>
      <c r="P46" s="29"/>
      <c r="Q46" s="195"/>
      <c r="R46" s="195"/>
      <c r="S46" s="195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  <c r="BO46" s="102"/>
      <c r="BP46" s="102"/>
      <c r="BQ46" s="102"/>
    </row>
    <row r="47" spans="1:69" s="184" customFormat="1" ht="11.25" x14ac:dyDescent="0.15">
      <c r="A47" s="334" t="s">
        <v>40</v>
      </c>
      <c r="B47" s="176"/>
      <c r="C47" s="206" t="s">
        <v>529</v>
      </c>
      <c r="D47" s="180" t="s">
        <v>43</v>
      </c>
      <c r="E47" s="181">
        <v>78</v>
      </c>
      <c r="F47" s="26"/>
      <c r="G47" s="61"/>
      <c r="H47" s="26"/>
      <c r="I47" s="27"/>
      <c r="J47" s="27"/>
      <c r="K47" s="25"/>
      <c r="L47" s="25"/>
      <c r="M47" s="26"/>
      <c r="N47" s="27"/>
      <c r="O47" s="28"/>
      <c r="P47" s="29"/>
      <c r="Q47" s="195"/>
      <c r="R47" s="195"/>
      <c r="S47" s="195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</row>
    <row r="48" spans="1:69" s="184" customFormat="1" ht="22.5" x14ac:dyDescent="0.15">
      <c r="A48" s="334"/>
      <c r="B48" s="186"/>
      <c r="C48" s="185" t="s">
        <v>692</v>
      </c>
      <c r="D48" s="180" t="s">
        <v>43</v>
      </c>
      <c r="E48" s="181">
        <f>ROUND(E47*1.15,2)</f>
        <v>89.7</v>
      </c>
      <c r="F48" s="26"/>
      <c r="G48" s="61"/>
      <c r="H48" s="26"/>
      <c r="I48" s="27"/>
      <c r="J48" s="27"/>
      <c r="K48" s="25"/>
      <c r="L48" s="25"/>
      <c r="M48" s="26"/>
      <c r="N48" s="27"/>
      <c r="O48" s="28"/>
      <c r="P48" s="29"/>
      <c r="Q48" s="195"/>
      <c r="R48" s="195"/>
      <c r="S48" s="195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</row>
    <row r="49" spans="1:69" s="184" customFormat="1" ht="22.5" x14ac:dyDescent="0.15">
      <c r="A49" s="334"/>
      <c r="B49" s="176"/>
      <c r="C49" s="364" t="s">
        <v>496</v>
      </c>
      <c r="D49" s="259" t="s">
        <v>50</v>
      </c>
      <c r="E49" s="260">
        <f>ROUND(E47*5,2)</f>
        <v>390</v>
      </c>
      <c r="F49" s="26"/>
      <c r="G49" s="61"/>
      <c r="H49" s="26"/>
      <c r="I49" s="27"/>
      <c r="J49" s="27"/>
      <c r="K49" s="25"/>
      <c r="L49" s="25"/>
      <c r="M49" s="26"/>
      <c r="N49" s="27"/>
      <c r="O49" s="28"/>
      <c r="P49" s="29"/>
      <c r="Q49" s="195"/>
      <c r="R49" s="195"/>
      <c r="S49" s="195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69" s="184" customFormat="1" ht="11.25" x14ac:dyDescent="0.15">
      <c r="A50" s="334"/>
      <c r="B50" s="186"/>
      <c r="C50" s="364" t="s">
        <v>497</v>
      </c>
      <c r="D50" s="259" t="s">
        <v>50</v>
      </c>
      <c r="E50" s="260">
        <f>ROUND(E47*0.5,2)</f>
        <v>39</v>
      </c>
      <c r="F50" s="26"/>
      <c r="G50" s="61"/>
      <c r="H50" s="26"/>
      <c r="I50" s="27"/>
      <c r="J50" s="27"/>
      <c r="K50" s="25"/>
      <c r="L50" s="25"/>
      <c r="M50" s="26"/>
      <c r="N50" s="27"/>
      <c r="O50" s="28"/>
      <c r="P50" s="29"/>
      <c r="Q50" s="195"/>
      <c r="R50" s="195"/>
      <c r="S50" s="195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</row>
    <row r="51" spans="1:69" s="184" customFormat="1" ht="22.5" x14ac:dyDescent="0.15">
      <c r="A51" s="334"/>
      <c r="B51" s="186"/>
      <c r="C51" s="185" t="s">
        <v>498</v>
      </c>
      <c r="D51" s="180" t="s">
        <v>43</v>
      </c>
      <c r="E51" s="258">
        <f>E47</f>
        <v>78</v>
      </c>
      <c r="F51" s="26"/>
      <c r="G51" s="61"/>
      <c r="H51" s="26"/>
      <c r="I51" s="27"/>
      <c r="J51" s="27"/>
      <c r="K51" s="25"/>
      <c r="L51" s="25"/>
      <c r="M51" s="26"/>
      <c r="N51" s="27"/>
      <c r="O51" s="28"/>
      <c r="P51" s="29"/>
      <c r="Q51" s="195"/>
      <c r="R51" s="195"/>
      <c r="S51" s="195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</row>
    <row r="52" spans="1:69" s="184" customFormat="1" ht="11.25" x14ac:dyDescent="0.15">
      <c r="A52" s="334"/>
      <c r="B52" s="186"/>
      <c r="C52" s="365" t="s">
        <v>517</v>
      </c>
      <c r="D52" s="188" t="s">
        <v>43</v>
      </c>
      <c r="E52" s="189">
        <v>42.7</v>
      </c>
      <c r="F52" s="26"/>
      <c r="G52" s="61"/>
      <c r="H52" s="26"/>
      <c r="I52" s="27"/>
      <c r="J52" s="27"/>
      <c r="K52" s="29"/>
      <c r="L52" s="25"/>
      <c r="M52" s="26"/>
      <c r="N52" s="27"/>
      <c r="O52" s="28"/>
      <c r="P52" s="29"/>
      <c r="Q52" s="195"/>
      <c r="R52" s="195"/>
      <c r="S52" s="195"/>
      <c r="T52" s="90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</row>
    <row r="53" spans="1:69" s="184" customFormat="1" ht="11.25" x14ac:dyDescent="0.15">
      <c r="A53" s="334" t="s">
        <v>313</v>
      </c>
      <c r="B53" s="186"/>
      <c r="C53" s="366" t="s">
        <v>518</v>
      </c>
      <c r="D53" s="259" t="s">
        <v>43</v>
      </c>
      <c r="E53" s="260">
        <f>E52</f>
        <v>42.7</v>
      </c>
      <c r="F53" s="26"/>
      <c r="G53" s="61"/>
      <c r="H53" s="26"/>
      <c r="I53" s="27"/>
      <c r="J53" s="27"/>
      <c r="K53" s="29"/>
      <c r="L53" s="25"/>
      <c r="M53" s="26"/>
      <c r="N53" s="27"/>
      <c r="O53" s="28"/>
      <c r="P53" s="29"/>
      <c r="Q53" s="195"/>
      <c r="R53" s="195"/>
      <c r="S53" s="195"/>
      <c r="T53" s="90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</row>
    <row r="54" spans="1:69" s="220" customFormat="1" ht="22.5" x14ac:dyDescent="0.2">
      <c r="A54" s="334"/>
      <c r="B54" s="186"/>
      <c r="C54" s="364" t="s">
        <v>521</v>
      </c>
      <c r="D54" s="259" t="s">
        <v>50</v>
      </c>
      <c r="E54" s="260">
        <f>ROUND(E53*0.3,2)</f>
        <v>12.81</v>
      </c>
      <c r="F54" s="221"/>
      <c r="G54" s="237"/>
      <c r="H54" s="221"/>
      <c r="I54" s="222"/>
      <c r="J54" s="222"/>
      <c r="K54" s="25"/>
      <c r="L54" s="25"/>
      <c r="M54" s="26"/>
      <c r="N54" s="27"/>
      <c r="O54" s="28"/>
      <c r="P54" s="29"/>
      <c r="Q54" s="195"/>
      <c r="R54" s="195"/>
      <c r="S54" s="195"/>
      <c r="T54" s="207"/>
      <c r="U54" s="207"/>
      <c r="V54" s="207"/>
      <c r="W54" s="207"/>
      <c r="X54" s="207"/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</row>
    <row r="55" spans="1:69" s="184" customFormat="1" ht="22.5" x14ac:dyDescent="0.15">
      <c r="A55" s="334"/>
      <c r="B55" s="186"/>
      <c r="C55" s="364" t="s">
        <v>693</v>
      </c>
      <c r="D55" s="259" t="s">
        <v>43</v>
      </c>
      <c r="E55" s="260">
        <f>ROUND(E53*1.15,2)</f>
        <v>49.11</v>
      </c>
      <c r="F55" s="26"/>
      <c r="G55" s="61"/>
      <c r="H55" s="26"/>
      <c r="I55" s="27"/>
      <c r="J55" s="27"/>
      <c r="K55" s="29"/>
      <c r="L55" s="25"/>
      <c r="M55" s="26"/>
      <c r="N55" s="27"/>
      <c r="O55" s="28"/>
      <c r="P55" s="29"/>
      <c r="Q55" s="195"/>
      <c r="R55" s="195"/>
      <c r="S55" s="195"/>
      <c r="T55" s="207"/>
      <c r="U55" s="207"/>
      <c r="V55" s="207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</row>
    <row r="56" spans="1:69" s="184" customFormat="1" ht="22.5" x14ac:dyDescent="0.15">
      <c r="A56" s="334"/>
      <c r="B56" s="186"/>
      <c r="C56" s="364" t="s">
        <v>496</v>
      </c>
      <c r="D56" s="259" t="s">
        <v>50</v>
      </c>
      <c r="E56" s="260">
        <f>ROUND(E53*5,2)</f>
        <v>213.5</v>
      </c>
      <c r="F56" s="26"/>
      <c r="G56" s="61"/>
      <c r="H56" s="26"/>
      <c r="I56" s="27"/>
      <c r="J56" s="27"/>
      <c r="K56" s="25"/>
      <c r="L56" s="25"/>
      <c r="M56" s="26"/>
      <c r="N56" s="27"/>
      <c r="O56" s="28"/>
      <c r="P56" s="29"/>
      <c r="Q56" s="195"/>
      <c r="R56" s="195"/>
      <c r="S56" s="195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</row>
    <row r="57" spans="1:69" s="184" customFormat="1" ht="11.25" x14ac:dyDescent="0.15">
      <c r="A57" s="334"/>
      <c r="B57" s="186"/>
      <c r="C57" s="364" t="s">
        <v>497</v>
      </c>
      <c r="D57" s="259" t="s">
        <v>50</v>
      </c>
      <c r="E57" s="260">
        <f>ROUND(E53*0.5,2)</f>
        <v>21.35</v>
      </c>
      <c r="F57" s="26"/>
      <c r="G57" s="61"/>
      <c r="H57" s="26"/>
      <c r="I57" s="27"/>
      <c r="J57" s="27"/>
      <c r="K57" s="25"/>
      <c r="L57" s="25"/>
      <c r="M57" s="26"/>
      <c r="N57" s="27"/>
      <c r="O57" s="28"/>
      <c r="P57" s="29"/>
      <c r="Q57" s="195"/>
      <c r="R57" s="195"/>
      <c r="S57" s="195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</row>
    <row r="58" spans="1:69" s="184" customFormat="1" ht="23.25" thickBot="1" x14ac:dyDescent="0.2">
      <c r="A58" s="334"/>
      <c r="B58" s="182"/>
      <c r="C58" s="364" t="s">
        <v>498</v>
      </c>
      <c r="D58" s="259" t="s">
        <v>43</v>
      </c>
      <c r="E58" s="262">
        <f>E53</f>
        <v>42.7</v>
      </c>
      <c r="F58" s="26"/>
      <c r="G58" s="61"/>
      <c r="H58" s="26"/>
      <c r="I58" s="27"/>
      <c r="J58" s="27"/>
      <c r="K58" s="25"/>
      <c r="L58" s="25"/>
      <c r="M58" s="26"/>
      <c r="N58" s="27"/>
      <c r="O58" s="28"/>
      <c r="P58" s="29"/>
      <c r="Q58" s="195"/>
      <c r="R58" s="195"/>
      <c r="S58" s="195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</row>
    <row r="59" spans="1:69" ht="15" customHeight="1" thickBo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2" t="s">
        <v>130</v>
      </c>
      <c r="L59" s="33">
        <f>ROUND(SUM(L15:L58),2)</f>
        <v>0</v>
      </c>
      <c r="M59" s="33">
        <f>ROUND(SUM(M15:M58),2)</f>
        <v>0</v>
      </c>
      <c r="N59" s="34">
        <f>ROUND(SUM(N15:N58),2)</f>
        <v>0</v>
      </c>
      <c r="O59" s="35">
        <f>ROUND(SUM(O15:O58),2)</f>
        <v>0</v>
      </c>
      <c r="P59" s="36">
        <f>ROUND(SUM(P15:P58),2)</f>
        <v>0</v>
      </c>
    </row>
    <row r="60" spans="1:69" ht="34.9" customHeight="1" x14ac:dyDescent="0.2">
      <c r="A60" s="37"/>
      <c r="B60" s="7"/>
      <c r="C60" s="38"/>
      <c r="D60" s="39"/>
      <c r="E60" s="5"/>
      <c r="F60" s="5"/>
      <c r="G60" s="5"/>
      <c r="H60" s="7"/>
      <c r="I60" s="7"/>
      <c r="J60" s="7"/>
      <c r="K60" s="7"/>
      <c r="L60" s="7"/>
      <c r="M60" s="7"/>
      <c r="N60" s="7"/>
      <c r="O60" s="7"/>
      <c r="P60" s="7"/>
    </row>
    <row r="61" spans="1:69" x14ac:dyDescent="0.2">
      <c r="A61" s="40"/>
      <c r="B61" s="41"/>
      <c r="C61" s="41" t="s">
        <v>10</v>
      </c>
      <c r="D61" s="42"/>
      <c r="E61" s="43"/>
      <c r="F61" s="44"/>
      <c r="G61" s="42"/>
      <c r="H61" s="45">
        <f>Kopsavilkums!C$43</f>
        <v>0</v>
      </c>
      <c r="I61" s="46" t="str">
        <f>Kopsavilkums!D$43</f>
        <v>datums</v>
      </c>
      <c r="J61" s="46"/>
      <c r="K61" s="41" t="s">
        <v>11</v>
      </c>
      <c r="L61" s="47"/>
      <c r="M61" s="44"/>
      <c r="N61" s="44"/>
      <c r="O61" s="45">
        <f>Kopsavilkums!C$48</f>
        <v>0</v>
      </c>
      <c r="P61" s="46" t="str">
        <f>Kopsavilkums!D$48</f>
        <v>datums</v>
      </c>
    </row>
    <row r="62" spans="1:69" x14ac:dyDescent="0.2">
      <c r="A62" s="48"/>
      <c r="B62" s="49"/>
      <c r="C62" s="50"/>
      <c r="D62" s="407" t="s">
        <v>12</v>
      </c>
      <c r="E62" s="407"/>
      <c r="F62" s="407"/>
      <c r="G62" s="407"/>
      <c r="H62" s="407"/>
      <c r="I62" s="7"/>
      <c r="J62" s="7"/>
      <c r="K62" s="7"/>
      <c r="L62" s="407" t="s">
        <v>12</v>
      </c>
      <c r="M62" s="407"/>
      <c r="N62" s="407"/>
      <c r="O62" s="407"/>
      <c r="P62" s="7"/>
    </row>
    <row r="63" spans="1:69" s="54" customFormat="1" x14ac:dyDescent="0.2">
      <c r="A63" s="37"/>
      <c r="B63" s="7"/>
      <c r="C63" s="38"/>
      <c r="D63" s="5"/>
      <c r="E63" s="5"/>
      <c r="F63" s="5"/>
      <c r="G63" s="5"/>
      <c r="H63" s="7"/>
      <c r="I63" s="7"/>
      <c r="J63" s="7"/>
      <c r="K63" s="7"/>
      <c r="L63" s="7"/>
      <c r="M63" s="7"/>
      <c r="N63" s="7"/>
      <c r="O63" s="7"/>
      <c r="P63" s="7"/>
      <c r="Q63" s="195"/>
      <c r="R63" s="195"/>
      <c r="S63" s="195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BO63" s="4"/>
      <c r="BP63" s="4"/>
      <c r="BQ63" s="4"/>
    </row>
    <row r="64" spans="1:69" s="54" customFormat="1" x14ac:dyDescent="0.2">
      <c r="A64" s="51"/>
      <c r="B64" s="46"/>
      <c r="C64" s="52"/>
      <c r="D64" s="52" t="str">
        <f>Kopsavilkums!B$46</f>
        <v>-</v>
      </c>
      <c r="E64" s="5"/>
      <c r="F64" s="5"/>
      <c r="G64" s="5"/>
      <c r="H64" s="7"/>
      <c r="I64" s="7"/>
      <c r="J64" s="7"/>
      <c r="K64" s="7"/>
      <c r="L64" s="52" t="str">
        <f>Kopsavilkums!B$51</f>
        <v>Sert.Nr.</v>
      </c>
      <c r="M64" s="53"/>
      <c r="N64" s="7"/>
      <c r="O64" s="7"/>
      <c r="P64" s="7"/>
      <c r="Q64" s="195"/>
      <c r="R64" s="195"/>
      <c r="S64" s="195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BO64" s="4"/>
      <c r="BP64" s="4"/>
      <c r="BQ64" s="4"/>
    </row>
    <row r="65" spans="17:45" s="54" customFormat="1" x14ac:dyDescent="0.25">
      <c r="Q65" s="195"/>
      <c r="R65" s="195"/>
      <c r="S65" s="195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</row>
    <row r="66" spans="17:45" s="54" customFormat="1" x14ac:dyDescent="0.25">
      <c r="Q66" s="195"/>
      <c r="R66" s="195"/>
      <c r="S66" s="195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</row>
    <row r="67" spans="17:45" s="54" customFormat="1" x14ac:dyDescent="0.25">
      <c r="Q67" s="195"/>
      <c r="R67" s="195"/>
      <c r="S67" s="195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</row>
    <row r="68" spans="17:45" s="54" customFormat="1" x14ac:dyDescent="0.25">
      <c r="Q68" s="195"/>
      <c r="R68" s="195"/>
      <c r="S68" s="195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</row>
    <row r="69" spans="17:45" s="54" customFormat="1" x14ac:dyDescent="0.25">
      <c r="Q69" s="195"/>
      <c r="R69" s="195"/>
      <c r="S69" s="195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</row>
    <row r="70" spans="17:45" s="54" customFormat="1" x14ac:dyDescent="0.25">
      <c r="Q70" s="195"/>
      <c r="R70" s="195"/>
      <c r="S70" s="195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</row>
    <row r="71" spans="17:45" s="54" customFormat="1" x14ac:dyDescent="0.25">
      <c r="Q71" s="195"/>
      <c r="R71" s="195"/>
      <c r="S71" s="195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</row>
    <row r="72" spans="17:45" s="54" customFormat="1" x14ac:dyDescent="0.25">
      <c r="Q72" s="195"/>
      <c r="R72" s="195"/>
      <c r="S72" s="195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</row>
    <row r="73" spans="17:45" s="54" customFormat="1" x14ac:dyDescent="0.25">
      <c r="Q73" s="195"/>
      <c r="R73" s="195"/>
      <c r="S73" s="195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</row>
    <row r="74" spans="17:45" s="54" customFormat="1" x14ac:dyDescent="0.25">
      <c r="Q74" s="195"/>
      <c r="R74" s="195"/>
      <c r="S74" s="195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</row>
    <row r="75" spans="17:45" s="54" customFormat="1" x14ac:dyDescent="0.25">
      <c r="Q75" s="195"/>
      <c r="R75" s="195"/>
      <c r="S75" s="195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</row>
    <row r="76" spans="17:45" s="54" customFormat="1" x14ac:dyDescent="0.25">
      <c r="Q76" s="195"/>
      <c r="R76" s="195"/>
      <c r="S76" s="195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</row>
    <row r="77" spans="17:45" s="54" customFormat="1" x14ac:dyDescent="0.25">
      <c r="Q77" s="195"/>
      <c r="R77" s="195"/>
      <c r="S77" s="195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</row>
    <row r="78" spans="17:45" s="54" customFormat="1" x14ac:dyDescent="0.25">
      <c r="Q78" s="195"/>
      <c r="R78" s="195"/>
      <c r="S78" s="195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</row>
    <row r="79" spans="17:45" s="54" customFormat="1" x14ac:dyDescent="0.25">
      <c r="Q79" s="195"/>
      <c r="R79" s="195"/>
      <c r="S79" s="195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</row>
    <row r="80" spans="17:45" s="54" customFormat="1" x14ac:dyDescent="0.25">
      <c r="Q80" s="195"/>
      <c r="R80" s="195"/>
      <c r="S80" s="195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</row>
    <row r="81" spans="17:45" s="54" customFormat="1" x14ac:dyDescent="0.25">
      <c r="Q81" s="195"/>
      <c r="R81" s="195"/>
      <c r="S81" s="195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</row>
    <row r="82" spans="17:45" s="54" customFormat="1" x14ac:dyDescent="0.25">
      <c r="Q82" s="195"/>
      <c r="R82" s="195"/>
      <c r="S82" s="195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</row>
    <row r="83" spans="17:45" s="54" customFormat="1" x14ac:dyDescent="0.25">
      <c r="Q83" s="195"/>
      <c r="R83" s="195"/>
      <c r="S83" s="195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</row>
    <row r="84" spans="17:45" s="54" customFormat="1" x14ac:dyDescent="0.25">
      <c r="Q84" s="195"/>
      <c r="R84" s="195"/>
      <c r="S84" s="195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</row>
    <row r="85" spans="17:45" s="54" customFormat="1" x14ac:dyDescent="0.25">
      <c r="Q85" s="195"/>
      <c r="R85" s="195"/>
      <c r="S85" s="195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</row>
    <row r="86" spans="17:45" s="54" customFormat="1" x14ac:dyDescent="0.25">
      <c r="Q86" s="195"/>
      <c r="R86" s="195"/>
      <c r="S86" s="195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</row>
    <row r="87" spans="17:45" s="54" customFormat="1" x14ac:dyDescent="0.25">
      <c r="Q87" s="195"/>
      <c r="R87" s="195"/>
      <c r="S87" s="195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</row>
    <row r="88" spans="17:45" s="54" customFormat="1" x14ac:dyDescent="0.25">
      <c r="Q88" s="195"/>
      <c r="R88" s="195"/>
      <c r="S88" s="195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</row>
    <row r="89" spans="17:45" s="54" customFormat="1" x14ac:dyDescent="0.25">
      <c r="Q89" s="195"/>
      <c r="R89" s="195"/>
      <c r="S89" s="195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</row>
    <row r="90" spans="17:45" s="54" customFormat="1" x14ac:dyDescent="0.25">
      <c r="Q90" s="195"/>
      <c r="R90" s="195"/>
      <c r="S90" s="195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</row>
    <row r="91" spans="17:45" s="54" customFormat="1" x14ac:dyDescent="0.25">
      <c r="Q91" s="195"/>
      <c r="R91" s="195"/>
      <c r="S91" s="195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</row>
    <row r="92" spans="17:45" s="54" customFormat="1" x14ac:dyDescent="0.25">
      <c r="Q92" s="195"/>
      <c r="R92" s="195"/>
      <c r="S92" s="195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</row>
    <row r="93" spans="17:45" s="54" customFormat="1" x14ac:dyDescent="0.25">
      <c r="Q93" s="195"/>
      <c r="R93" s="195"/>
      <c r="S93" s="195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</row>
    <row r="94" spans="17:45" s="54" customFormat="1" x14ac:dyDescent="0.25">
      <c r="Q94" s="195"/>
      <c r="R94" s="195"/>
      <c r="S94" s="195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</row>
    <row r="95" spans="17:45" s="54" customFormat="1" x14ac:dyDescent="0.25">
      <c r="Q95" s="195"/>
      <c r="R95" s="195"/>
      <c r="S95" s="195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</row>
    <row r="96" spans="17:45" s="54" customFormat="1" x14ac:dyDescent="0.25">
      <c r="Q96" s="195"/>
      <c r="R96" s="195"/>
      <c r="S96" s="195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</row>
    <row r="97" spans="17:45" s="54" customFormat="1" x14ac:dyDescent="0.25">
      <c r="Q97" s="195"/>
      <c r="R97" s="195"/>
      <c r="S97" s="195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</row>
    <row r="98" spans="17:45" s="54" customFormat="1" x14ac:dyDescent="0.25">
      <c r="Q98" s="195"/>
      <c r="R98" s="195"/>
      <c r="S98" s="195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</row>
    <row r="99" spans="17:45" s="54" customFormat="1" x14ac:dyDescent="0.25">
      <c r="Q99" s="195"/>
      <c r="R99" s="195"/>
      <c r="S99" s="195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</row>
    <row r="100" spans="17:45" s="54" customFormat="1" x14ac:dyDescent="0.25">
      <c r="Q100" s="195"/>
      <c r="R100" s="195"/>
      <c r="S100" s="195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</row>
    <row r="101" spans="17:45" s="54" customFormat="1" x14ac:dyDescent="0.25">
      <c r="Q101" s="195"/>
      <c r="R101" s="195"/>
      <c r="S101" s="195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</row>
    <row r="102" spans="17:45" s="54" customFormat="1" x14ac:dyDescent="0.25">
      <c r="Q102" s="195"/>
      <c r="R102" s="195"/>
      <c r="S102" s="195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</row>
    <row r="103" spans="17:45" s="54" customFormat="1" x14ac:dyDescent="0.25">
      <c r="Q103" s="195"/>
      <c r="R103" s="195"/>
      <c r="S103" s="195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</row>
    <row r="104" spans="17:45" s="54" customFormat="1" x14ac:dyDescent="0.25">
      <c r="Q104" s="195"/>
      <c r="R104" s="195"/>
      <c r="S104" s="195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</row>
    <row r="105" spans="17:45" s="54" customFormat="1" x14ac:dyDescent="0.25">
      <c r="Q105" s="195"/>
      <c r="R105" s="195"/>
      <c r="S105" s="195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</row>
    <row r="106" spans="17:45" s="54" customFormat="1" x14ac:dyDescent="0.25">
      <c r="Q106" s="195"/>
      <c r="R106" s="195"/>
      <c r="S106" s="195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</row>
    <row r="107" spans="17:45" s="54" customFormat="1" x14ac:dyDescent="0.25">
      <c r="Q107" s="195"/>
      <c r="R107" s="195"/>
      <c r="S107" s="195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</row>
    <row r="108" spans="17:45" s="54" customFormat="1" x14ac:dyDescent="0.25">
      <c r="Q108" s="195"/>
      <c r="R108" s="195"/>
      <c r="S108" s="195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</row>
    <row r="109" spans="17:45" s="54" customFormat="1" x14ac:dyDescent="0.25">
      <c r="Q109" s="195"/>
      <c r="R109" s="195"/>
      <c r="S109" s="195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</row>
    <row r="110" spans="17:45" s="54" customFormat="1" x14ac:dyDescent="0.25">
      <c r="Q110" s="195"/>
      <c r="R110" s="195"/>
      <c r="S110" s="195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</row>
    <row r="111" spans="17:45" s="54" customFormat="1" x14ac:dyDescent="0.25">
      <c r="Q111" s="195"/>
      <c r="R111" s="195"/>
      <c r="S111" s="195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</row>
    <row r="112" spans="17:45" s="54" customFormat="1" x14ac:dyDescent="0.25">
      <c r="Q112" s="195"/>
      <c r="R112" s="195"/>
      <c r="S112" s="195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</row>
    <row r="113" spans="17:45" s="54" customFormat="1" x14ac:dyDescent="0.25">
      <c r="Q113" s="195"/>
      <c r="R113" s="195"/>
      <c r="S113" s="195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</row>
    <row r="114" spans="17:45" s="54" customFormat="1" x14ac:dyDescent="0.25">
      <c r="Q114" s="195"/>
      <c r="R114" s="195"/>
      <c r="S114" s="195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</row>
    <row r="115" spans="17:45" s="54" customFormat="1" x14ac:dyDescent="0.25">
      <c r="Q115" s="195"/>
      <c r="R115" s="195"/>
      <c r="S115" s="195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</row>
    <row r="116" spans="17:45" s="54" customFormat="1" x14ac:dyDescent="0.25">
      <c r="Q116" s="195"/>
      <c r="R116" s="195"/>
      <c r="S116" s="195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</row>
    <row r="117" spans="17:45" s="54" customFormat="1" x14ac:dyDescent="0.25">
      <c r="Q117" s="195"/>
      <c r="R117" s="195"/>
      <c r="S117" s="195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</row>
    <row r="118" spans="17:45" s="54" customFormat="1" x14ac:dyDescent="0.25">
      <c r="Q118" s="195"/>
      <c r="R118" s="195"/>
      <c r="S118" s="195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</row>
    <row r="119" spans="17:45" s="54" customFormat="1" x14ac:dyDescent="0.25">
      <c r="Q119" s="195"/>
      <c r="R119" s="195"/>
      <c r="S119" s="195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</row>
    <row r="120" spans="17:45" s="54" customFormat="1" x14ac:dyDescent="0.25">
      <c r="Q120" s="195"/>
      <c r="R120" s="195"/>
      <c r="S120" s="195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</row>
    <row r="121" spans="17:45" s="54" customFormat="1" x14ac:dyDescent="0.25">
      <c r="Q121" s="195"/>
      <c r="R121" s="195"/>
      <c r="S121" s="195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</row>
    <row r="122" spans="17:45" s="54" customFormat="1" x14ac:dyDescent="0.25">
      <c r="Q122" s="195"/>
      <c r="R122" s="195"/>
      <c r="S122" s="195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</row>
    <row r="123" spans="17:45" s="54" customFormat="1" x14ac:dyDescent="0.25">
      <c r="Q123" s="195"/>
      <c r="R123" s="195"/>
      <c r="S123" s="195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</row>
    <row r="124" spans="17:45" s="54" customFormat="1" x14ac:dyDescent="0.25">
      <c r="Q124" s="195"/>
      <c r="R124" s="195"/>
      <c r="S124" s="195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</row>
    <row r="125" spans="17:45" s="54" customFormat="1" x14ac:dyDescent="0.25">
      <c r="Q125" s="195"/>
      <c r="R125" s="195"/>
      <c r="S125" s="195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</row>
    <row r="126" spans="17:45" s="54" customFormat="1" x14ac:dyDescent="0.25">
      <c r="Q126" s="195"/>
      <c r="R126" s="195"/>
      <c r="S126" s="195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</row>
    <row r="127" spans="17:45" s="54" customFormat="1" x14ac:dyDescent="0.25">
      <c r="Q127" s="195"/>
      <c r="R127" s="195"/>
      <c r="S127" s="195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</row>
    <row r="128" spans="17:45" s="54" customFormat="1" x14ac:dyDescent="0.25">
      <c r="Q128" s="195"/>
      <c r="R128" s="195"/>
      <c r="S128" s="195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</row>
    <row r="129" spans="17:45" s="54" customFormat="1" x14ac:dyDescent="0.25">
      <c r="Q129" s="195"/>
      <c r="R129" s="195"/>
      <c r="S129" s="195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</row>
    <row r="130" spans="17:45" s="54" customFormat="1" x14ac:dyDescent="0.25">
      <c r="Q130" s="195"/>
      <c r="R130" s="195"/>
      <c r="S130" s="195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</row>
    <row r="131" spans="17:45" s="54" customFormat="1" x14ac:dyDescent="0.25">
      <c r="Q131" s="195"/>
      <c r="R131" s="195"/>
      <c r="S131" s="195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</row>
    <row r="132" spans="17:45" s="54" customFormat="1" x14ac:dyDescent="0.25">
      <c r="Q132" s="195"/>
      <c r="R132" s="195"/>
      <c r="S132" s="195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</row>
    <row r="133" spans="17:45" s="54" customFormat="1" x14ac:dyDescent="0.25">
      <c r="Q133" s="195"/>
      <c r="R133" s="195"/>
      <c r="S133" s="195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</row>
    <row r="134" spans="17:45" s="54" customFormat="1" x14ac:dyDescent="0.25">
      <c r="Q134" s="195"/>
      <c r="R134" s="195"/>
      <c r="S134" s="195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</row>
    <row r="135" spans="17:45" s="54" customFormat="1" x14ac:dyDescent="0.25">
      <c r="Q135" s="195"/>
      <c r="R135" s="195"/>
      <c r="S135" s="195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</row>
    <row r="136" spans="17:45" s="54" customFormat="1" x14ac:dyDescent="0.25">
      <c r="Q136" s="195"/>
      <c r="R136" s="195"/>
      <c r="S136" s="195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</row>
    <row r="137" spans="17:45" s="54" customFormat="1" x14ac:dyDescent="0.25">
      <c r="Q137" s="195"/>
      <c r="R137" s="195"/>
      <c r="S137" s="195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</row>
    <row r="138" spans="17:45" s="54" customFormat="1" x14ac:dyDescent="0.25">
      <c r="Q138" s="195"/>
      <c r="R138" s="195"/>
      <c r="S138" s="195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</row>
    <row r="139" spans="17:45" s="54" customFormat="1" x14ac:dyDescent="0.25">
      <c r="Q139" s="195"/>
      <c r="R139" s="195"/>
      <c r="S139" s="195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</row>
    <row r="140" spans="17:45" s="54" customFormat="1" x14ac:dyDescent="0.25">
      <c r="Q140" s="195"/>
      <c r="R140" s="195"/>
      <c r="S140" s="195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</row>
    <row r="141" spans="17:45" s="54" customFormat="1" x14ac:dyDescent="0.25">
      <c r="Q141" s="195"/>
      <c r="R141" s="195"/>
      <c r="S141" s="195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</row>
    <row r="142" spans="17:45" s="54" customFormat="1" x14ac:dyDescent="0.25">
      <c r="Q142" s="195"/>
      <c r="R142" s="195"/>
      <c r="S142" s="195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</row>
    <row r="143" spans="17:45" s="54" customFormat="1" x14ac:dyDescent="0.25">
      <c r="Q143" s="195"/>
      <c r="R143" s="195"/>
      <c r="S143" s="195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</row>
    <row r="144" spans="17:45" s="54" customFormat="1" x14ac:dyDescent="0.25">
      <c r="Q144" s="195"/>
      <c r="R144" s="195"/>
      <c r="S144" s="195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</row>
    <row r="145" spans="17:45" s="54" customFormat="1" x14ac:dyDescent="0.25">
      <c r="Q145" s="195"/>
      <c r="R145" s="195"/>
      <c r="S145" s="195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</row>
    <row r="146" spans="17:45" s="54" customFormat="1" x14ac:dyDescent="0.25">
      <c r="Q146" s="195"/>
      <c r="R146" s="195"/>
      <c r="S146" s="195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</row>
    <row r="147" spans="17:45" s="54" customFormat="1" x14ac:dyDescent="0.25">
      <c r="Q147" s="195"/>
      <c r="R147" s="195"/>
      <c r="S147" s="195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</row>
    <row r="148" spans="17:45" s="54" customFormat="1" x14ac:dyDescent="0.25">
      <c r="Q148" s="195"/>
      <c r="R148" s="195"/>
      <c r="S148" s="195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</row>
    <row r="149" spans="17:45" s="54" customFormat="1" x14ac:dyDescent="0.25">
      <c r="Q149" s="195"/>
      <c r="R149" s="195"/>
      <c r="S149" s="195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</row>
    <row r="150" spans="17:45" s="54" customFormat="1" x14ac:dyDescent="0.25">
      <c r="Q150" s="195"/>
      <c r="R150" s="195"/>
      <c r="S150" s="195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</row>
    <row r="151" spans="17:45" s="54" customFormat="1" x14ac:dyDescent="0.25">
      <c r="Q151" s="195"/>
      <c r="R151" s="195"/>
      <c r="S151" s="195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</row>
    <row r="152" spans="17:45" s="54" customFormat="1" x14ac:dyDescent="0.25">
      <c r="Q152" s="195"/>
      <c r="R152" s="195"/>
      <c r="S152" s="195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</row>
    <row r="153" spans="17:45" s="54" customFormat="1" x14ac:dyDescent="0.25">
      <c r="Q153" s="195"/>
      <c r="R153" s="195"/>
      <c r="S153" s="195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</row>
    <row r="154" spans="17:45" s="54" customFormat="1" x14ac:dyDescent="0.25">
      <c r="Q154" s="195"/>
      <c r="R154" s="195"/>
      <c r="S154" s="195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</row>
    <row r="155" spans="17:45" s="54" customFormat="1" x14ac:dyDescent="0.25">
      <c r="Q155" s="195"/>
      <c r="R155" s="195"/>
      <c r="S155" s="195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</row>
    <row r="156" spans="17:45" s="54" customFormat="1" x14ac:dyDescent="0.25">
      <c r="Q156" s="195"/>
      <c r="R156" s="195"/>
      <c r="S156" s="195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</row>
    <row r="157" spans="17:45" s="54" customFormat="1" x14ac:dyDescent="0.25">
      <c r="Q157" s="195"/>
      <c r="R157" s="195"/>
      <c r="S157" s="195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</row>
    <row r="158" spans="17:45" s="54" customFormat="1" x14ac:dyDescent="0.25">
      <c r="Q158" s="195"/>
      <c r="R158" s="195"/>
      <c r="S158" s="195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</row>
    <row r="159" spans="17:45" s="54" customFormat="1" x14ac:dyDescent="0.25">
      <c r="Q159" s="195"/>
      <c r="R159" s="195"/>
      <c r="S159" s="195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</row>
    <row r="160" spans="17:45" s="54" customFormat="1" x14ac:dyDescent="0.25">
      <c r="Q160" s="195"/>
      <c r="R160" s="195"/>
      <c r="S160" s="195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</row>
    <row r="161" spans="17:45" s="54" customFormat="1" x14ac:dyDescent="0.25">
      <c r="Q161" s="195"/>
      <c r="R161" s="195"/>
      <c r="S161" s="195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</row>
    <row r="162" spans="17:45" s="54" customFormat="1" x14ac:dyDescent="0.25">
      <c r="Q162" s="195"/>
      <c r="R162" s="195"/>
      <c r="S162" s="195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</row>
    <row r="163" spans="17:45" s="54" customFormat="1" x14ac:dyDescent="0.25">
      <c r="Q163" s="195"/>
      <c r="R163" s="195"/>
      <c r="S163" s="195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</row>
    <row r="164" spans="17:45" s="54" customFormat="1" x14ac:dyDescent="0.25">
      <c r="Q164" s="195"/>
      <c r="R164" s="195"/>
      <c r="S164" s="195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</row>
    <row r="165" spans="17:45" s="54" customFormat="1" x14ac:dyDescent="0.25">
      <c r="Q165" s="195"/>
      <c r="R165" s="195"/>
      <c r="S165" s="195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</row>
    <row r="166" spans="17:45" s="54" customFormat="1" x14ac:dyDescent="0.25">
      <c r="Q166" s="195"/>
      <c r="R166" s="195"/>
      <c r="S166" s="195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</row>
    <row r="167" spans="17:45" s="54" customFormat="1" x14ac:dyDescent="0.25">
      <c r="Q167" s="195"/>
      <c r="R167" s="195"/>
      <c r="S167" s="195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</row>
    <row r="168" spans="17:45" s="54" customFormat="1" x14ac:dyDescent="0.25">
      <c r="Q168" s="195"/>
      <c r="R168" s="195"/>
      <c r="S168" s="195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</row>
    <row r="169" spans="17:45" s="54" customFormat="1" x14ac:dyDescent="0.25">
      <c r="Q169" s="195"/>
      <c r="R169" s="195"/>
      <c r="S169" s="195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</row>
    <row r="170" spans="17:45" s="54" customFormat="1" x14ac:dyDescent="0.25">
      <c r="Q170" s="195"/>
      <c r="R170" s="195"/>
      <c r="S170" s="195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</row>
    <row r="171" spans="17:45" s="54" customFormat="1" x14ac:dyDescent="0.25">
      <c r="Q171" s="195"/>
      <c r="R171" s="195"/>
      <c r="S171" s="195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</row>
    <row r="172" spans="17:45" s="54" customFormat="1" x14ac:dyDescent="0.25">
      <c r="Q172" s="195"/>
      <c r="R172" s="195"/>
      <c r="S172" s="195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</row>
    <row r="173" spans="17:45" s="54" customFormat="1" x14ac:dyDescent="0.25">
      <c r="Q173" s="195"/>
      <c r="R173" s="195"/>
      <c r="S173" s="195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</row>
    <row r="174" spans="17:45" s="54" customFormat="1" x14ac:dyDescent="0.25">
      <c r="Q174" s="195"/>
      <c r="R174" s="195"/>
      <c r="S174" s="195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</row>
    <row r="175" spans="17:45" s="54" customFormat="1" x14ac:dyDescent="0.25">
      <c r="Q175" s="195"/>
      <c r="R175" s="195"/>
      <c r="S175" s="195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</row>
    <row r="176" spans="17:45" s="54" customFormat="1" x14ac:dyDescent="0.25">
      <c r="Q176" s="195"/>
      <c r="R176" s="195"/>
      <c r="S176" s="195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</row>
    <row r="177" spans="17:45" s="54" customFormat="1" x14ac:dyDescent="0.25">
      <c r="Q177" s="195"/>
      <c r="R177" s="195"/>
      <c r="S177" s="195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</row>
    <row r="178" spans="17:45" s="54" customFormat="1" x14ac:dyDescent="0.25">
      <c r="Q178" s="195"/>
      <c r="R178" s="195"/>
      <c r="S178" s="195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</row>
    <row r="179" spans="17:45" s="54" customFormat="1" x14ac:dyDescent="0.25">
      <c r="Q179" s="195"/>
      <c r="R179" s="195"/>
      <c r="S179" s="195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</row>
    <row r="180" spans="17:45" s="54" customFormat="1" x14ac:dyDescent="0.25">
      <c r="Q180" s="195"/>
      <c r="R180" s="195"/>
      <c r="S180" s="195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</row>
    <row r="181" spans="17:45" s="54" customFormat="1" x14ac:dyDescent="0.25">
      <c r="Q181" s="195"/>
      <c r="R181" s="195"/>
      <c r="S181" s="195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</row>
    <row r="182" spans="17:45" s="54" customFormat="1" x14ac:dyDescent="0.25">
      <c r="Q182" s="195"/>
      <c r="R182" s="195"/>
      <c r="S182" s="195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</row>
    <row r="183" spans="17:45" s="54" customFormat="1" x14ac:dyDescent="0.25">
      <c r="Q183" s="195"/>
      <c r="R183" s="195"/>
      <c r="S183" s="195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</row>
    <row r="184" spans="17:45" s="54" customFormat="1" x14ac:dyDescent="0.25">
      <c r="Q184" s="195"/>
      <c r="R184" s="195"/>
      <c r="S184" s="195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</row>
    <row r="185" spans="17:45" s="54" customFormat="1" x14ac:dyDescent="0.25">
      <c r="Q185" s="195"/>
      <c r="R185" s="195"/>
      <c r="S185" s="195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</row>
    <row r="186" spans="17:45" s="54" customFormat="1" x14ac:dyDescent="0.25">
      <c r="Q186" s="195"/>
      <c r="R186" s="195"/>
      <c r="S186" s="195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</row>
    <row r="187" spans="17:45" s="54" customFormat="1" x14ac:dyDescent="0.25">
      <c r="Q187" s="195"/>
      <c r="R187" s="195"/>
      <c r="S187" s="195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</row>
    <row r="188" spans="17:45" s="54" customFormat="1" x14ac:dyDescent="0.25">
      <c r="Q188" s="195"/>
      <c r="R188" s="195"/>
      <c r="S188" s="195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</row>
    <row r="189" spans="17:45" s="54" customFormat="1" x14ac:dyDescent="0.25">
      <c r="Q189" s="195"/>
      <c r="R189" s="195"/>
      <c r="S189" s="195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</row>
    <row r="190" spans="17:45" s="54" customFormat="1" x14ac:dyDescent="0.25">
      <c r="Q190" s="195"/>
      <c r="R190" s="195"/>
      <c r="S190" s="195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</row>
    <row r="191" spans="17:45" s="54" customFormat="1" x14ac:dyDescent="0.25">
      <c r="Q191" s="195"/>
      <c r="R191" s="195"/>
      <c r="S191" s="195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</row>
    <row r="192" spans="17:45" s="54" customFormat="1" x14ac:dyDescent="0.25">
      <c r="Q192" s="195"/>
      <c r="R192" s="195"/>
      <c r="S192" s="195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</row>
    <row r="193" spans="17:45" s="54" customFormat="1" x14ac:dyDescent="0.25">
      <c r="Q193" s="195"/>
      <c r="R193" s="195"/>
      <c r="S193" s="195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</row>
    <row r="194" spans="17:45" s="54" customFormat="1" x14ac:dyDescent="0.25">
      <c r="Q194" s="195"/>
      <c r="R194" s="195"/>
      <c r="S194" s="195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</row>
    <row r="195" spans="17:45" s="54" customFormat="1" x14ac:dyDescent="0.25">
      <c r="Q195" s="195"/>
      <c r="R195" s="195"/>
      <c r="S195" s="195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</row>
    <row r="196" spans="17:45" s="54" customFormat="1" x14ac:dyDescent="0.25">
      <c r="Q196" s="195"/>
      <c r="R196" s="195"/>
      <c r="S196" s="195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</row>
    <row r="197" spans="17:45" s="54" customFormat="1" x14ac:dyDescent="0.25">
      <c r="Q197" s="195"/>
      <c r="R197" s="195"/>
      <c r="S197" s="195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</row>
    <row r="198" spans="17:45" s="54" customFormat="1" x14ac:dyDescent="0.25">
      <c r="Q198" s="195"/>
      <c r="R198" s="195"/>
      <c r="S198" s="195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</row>
    <row r="199" spans="17:45" s="54" customFormat="1" x14ac:dyDescent="0.25">
      <c r="Q199" s="195"/>
      <c r="R199" s="195"/>
      <c r="S199" s="195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</row>
    <row r="200" spans="17:45" s="54" customFormat="1" x14ac:dyDescent="0.25">
      <c r="Q200" s="195"/>
      <c r="R200" s="195"/>
      <c r="S200" s="195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</row>
    <row r="201" spans="17:45" s="54" customFormat="1" x14ac:dyDescent="0.25">
      <c r="Q201" s="195"/>
      <c r="R201" s="195"/>
      <c r="S201" s="195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</row>
    <row r="202" spans="17:45" s="54" customFormat="1" x14ac:dyDescent="0.25">
      <c r="Q202" s="195"/>
      <c r="R202" s="195"/>
      <c r="S202" s="195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</row>
    <row r="203" spans="17:45" s="54" customFormat="1" x14ac:dyDescent="0.25">
      <c r="Q203" s="195"/>
      <c r="R203" s="195"/>
      <c r="S203" s="195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</row>
    <row r="204" spans="17:45" s="54" customFormat="1" x14ac:dyDescent="0.25">
      <c r="Q204" s="195"/>
      <c r="R204" s="195"/>
      <c r="S204" s="195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</row>
    <row r="205" spans="17:45" s="54" customFormat="1" x14ac:dyDescent="0.25">
      <c r="Q205" s="195"/>
      <c r="R205" s="195"/>
      <c r="S205" s="195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</row>
    <row r="206" spans="17:45" s="54" customFormat="1" x14ac:dyDescent="0.25">
      <c r="Q206" s="195"/>
      <c r="R206" s="195"/>
      <c r="S206" s="195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</row>
    <row r="207" spans="17:45" s="54" customFormat="1" x14ac:dyDescent="0.25">
      <c r="Q207" s="195"/>
      <c r="R207" s="195"/>
      <c r="S207" s="195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</row>
    <row r="208" spans="17:45" s="54" customFormat="1" x14ac:dyDescent="0.25">
      <c r="Q208" s="195"/>
      <c r="R208" s="195"/>
      <c r="S208" s="195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</row>
    <row r="209" spans="17:45" s="54" customFormat="1" x14ac:dyDescent="0.25">
      <c r="Q209" s="195"/>
      <c r="R209" s="195"/>
      <c r="S209" s="195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</row>
    <row r="210" spans="17:45" s="54" customFormat="1" x14ac:dyDescent="0.25">
      <c r="Q210" s="195"/>
      <c r="R210" s="195"/>
      <c r="S210" s="195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</row>
    <row r="211" spans="17:45" s="54" customFormat="1" x14ac:dyDescent="0.25">
      <c r="Q211" s="195"/>
      <c r="R211" s="195"/>
      <c r="S211" s="195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</row>
    <row r="212" spans="17:45" s="54" customFormat="1" x14ac:dyDescent="0.25">
      <c r="Q212" s="195"/>
      <c r="R212" s="195"/>
      <c r="S212" s="195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</row>
    <row r="213" spans="17:45" s="54" customFormat="1" x14ac:dyDescent="0.25">
      <c r="Q213" s="195"/>
      <c r="R213" s="195"/>
      <c r="S213" s="195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</row>
    <row r="214" spans="17:45" s="54" customFormat="1" x14ac:dyDescent="0.25">
      <c r="Q214" s="195"/>
      <c r="R214" s="195"/>
      <c r="S214" s="195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</row>
    <row r="215" spans="17:45" s="54" customFormat="1" x14ac:dyDescent="0.25">
      <c r="Q215" s="195"/>
      <c r="R215" s="195"/>
      <c r="S215" s="195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</row>
    <row r="216" spans="17:45" s="54" customFormat="1" x14ac:dyDescent="0.25">
      <c r="Q216" s="195"/>
      <c r="R216" s="195"/>
      <c r="S216" s="195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</row>
    <row r="217" spans="17:45" s="54" customFormat="1" x14ac:dyDescent="0.25">
      <c r="Q217" s="195"/>
      <c r="R217" s="195"/>
      <c r="S217" s="195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</row>
    <row r="218" spans="17:45" s="54" customFormat="1" x14ac:dyDescent="0.25">
      <c r="Q218" s="195"/>
      <c r="R218" s="195"/>
      <c r="S218" s="195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</row>
    <row r="219" spans="17:45" s="54" customFormat="1" x14ac:dyDescent="0.25">
      <c r="Q219" s="195"/>
      <c r="R219" s="195"/>
      <c r="S219" s="195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</row>
    <row r="220" spans="17:45" s="54" customFormat="1" x14ac:dyDescent="0.25">
      <c r="Q220" s="195"/>
      <c r="R220" s="195"/>
      <c r="S220" s="195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</row>
    <row r="221" spans="17:45" s="54" customFormat="1" x14ac:dyDescent="0.25">
      <c r="Q221" s="195"/>
      <c r="R221" s="195"/>
      <c r="S221" s="195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</row>
    <row r="222" spans="17:45" s="54" customFormat="1" x14ac:dyDescent="0.25">
      <c r="Q222" s="195"/>
      <c r="R222" s="195"/>
      <c r="S222" s="195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</row>
    <row r="223" spans="17:45" s="54" customFormat="1" x14ac:dyDescent="0.25">
      <c r="Q223" s="195"/>
      <c r="R223" s="195"/>
      <c r="S223" s="195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</row>
    <row r="224" spans="17:45" s="54" customFormat="1" x14ac:dyDescent="0.25">
      <c r="Q224" s="195"/>
      <c r="R224" s="195"/>
      <c r="S224" s="195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</row>
    <row r="225" spans="17:45" s="54" customFormat="1" x14ac:dyDescent="0.25">
      <c r="Q225" s="195"/>
      <c r="R225" s="195"/>
      <c r="S225" s="195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</row>
    <row r="226" spans="17:45" s="54" customFormat="1" x14ac:dyDescent="0.25">
      <c r="Q226" s="195"/>
      <c r="R226" s="195"/>
      <c r="S226" s="195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</row>
    <row r="227" spans="17:45" s="54" customFormat="1" x14ac:dyDescent="0.25">
      <c r="Q227" s="195"/>
      <c r="R227" s="195"/>
      <c r="S227" s="195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</row>
    <row r="228" spans="17:45" s="54" customFormat="1" x14ac:dyDescent="0.25">
      <c r="Q228" s="195"/>
      <c r="R228" s="195"/>
      <c r="S228" s="195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</row>
    <row r="229" spans="17:45" s="54" customFormat="1" x14ac:dyDescent="0.25">
      <c r="Q229" s="195"/>
      <c r="R229" s="195"/>
      <c r="S229" s="195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</row>
    <row r="230" spans="17:45" s="54" customFormat="1" x14ac:dyDescent="0.25">
      <c r="Q230" s="195"/>
      <c r="R230" s="195"/>
      <c r="S230" s="195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</row>
    <row r="231" spans="17:45" s="54" customFormat="1" x14ac:dyDescent="0.25">
      <c r="Q231" s="195"/>
      <c r="R231" s="195"/>
      <c r="S231" s="195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</row>
    <row r="232" spans="17:45" s="54" customFormat="1" x14ac:dyDescent="0.25">
      <c r="Q232" s="195"/>
      <c r="R232" s="195"/>
      <c r="S232" s="195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</row>
    <row r="233" spans="17:45" s="54" customFormat="1" x14ac:dyDescent="0.25">
      <c r="Q233" s="195"/>
      <c r="R233" s="195"/>
      <c r="S233" s="195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</row>
    <row r="234" spans="17:45" s="54" customFormat="1" x14ac:dyDescent="0.25">
      <c r="Q234" s="195"/>
      <c r="R234" s="195"/>
      <c r="S234" s="195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</row>
    <row r="235" spans="17:45" s="54" customFormat="1" x14ac:dyDescent="0.25">
      <c r="Q235" s="195"/>
      <c r="R235" s="195"/>
      <c r="S235" s="195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</row>
    <row r="236" spans="17:45" s="54" customFormat="1" x14ac:dyDescent="0.25">
      <c r="Q236" s="195"/>
      <c r="R236" s="195"/>
      <c r="S236" s="195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</row>
    <row r="237" spans="17:45" s="54" customFormat="1" x14ac:dyDescent="0.25">
      <c r="Q237" s="195"/>
      <c r="R237" s="195"/>
      <c r="S237" s="195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</row>
    <row r="238" spans="17:45" s="54" customFormat="1" x14ac:dyDescent="0.25">
      <c r="Q238" s="195"/>
      <c r="R238" s="195"/>
      <c r="S238" s="195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</row>
    <row r="239" spans="17:45" s="54" customFormat="1" x14ac:dyDescent="0.25">
      <c r="Q239" s="195"/>
      <c r="R239" s="195"/>
      <c r="S239" s="195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</row>
    <row r="240" spans="17:45" s="54" customFormat="1" x14ac:dyDescent="0.25">
      <c r="Q240" s="195"/>
      <c r="R240" s="195"/>
      <c r="S240" s="195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</row>
    <row r="241" spans="17:45" s="54" customFormat="1" x14ac:dyDescent="0.25">
      <c r="Q241" s="195"/>
      <c r="R241" s="195"/>
      <c r="S241" s="195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</row>
    <row r="242" spans="17:45" s="54" customFormat="1" x14ac:dyDescent="0.25">
      <c r="Q242" s="195"/>
      <c r="R242" s="195"/>
      <c r="S242" s="195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</row>
    <row r="243" spans="17:45" s="54" customFormat="1" x14ac:dyDescent="0.25">
      <c r="Q243" s="195"/>
      <c r="R243" s="195"/>
      <c r="S243" s="195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</row>
    <row r="244" spans="17:45" s="54" customFormat="1" x14ac:dyDescent="0.25">
      <c r="Q244" s="195"/>
      <c r="R244" s="195"/>
      <c r="S244" s="195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</row>
    <row r="245" spans="17:45" s="54" customFormat="1" x14ac:dyDescent="0.25">
      <c r="Q245" s="195"/>
      <c r="R245" s="195"/>
      <c r="S245" s="195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</row>
    <row r="246" spans="17:45" s="54" customFormat="1" x14ac:dyDescent="0.25">
      <c r="Q246" s="195"/>
      <c r="R246" s="195"/>
      <c r="S246" s="195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</row>
    <row r="247" spans="17:45" s="54" customFormat="1" x14ac:dyDescent="0.25">
      <c r="Q247" s="195"/>
      <c r="R247" s="195"/>
      <c r="S247" s="195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</row>
    <row r="248" spans="17:45" s="54" customFormat="1" x14ac:dyDescent="0.25">
      <c r="Q248" s="195"/>
      <c r="R248" s="195"/>
      <c r="S248" s="195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</row>
    <row r="249" spans="17:45" s="54" customFormat="1" x14ac:dyDescent="0.25">
      <c r="Q249" s="195"/>
      <c r="R249" s="195"/>
      <c r="S249" s="195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</row>
    <row r="250" spans="17:45" s="54" customFormat="1" x14ac:dyDescent="0.25">
      <c r="Q250" s="195"/>
      <c r="R250" s="195"/>
      <c r="S250" s="195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</row>
    <row r="251" spans="17:45" s="54" customFormat="1" x14ac:dyDescent="0.25">
      <c r="Q251" s="195"/>
      <c r="R251" s="195"/>
      <c r="S251" s="195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</row>
    <row r="252" spans="17:45" s="54" customFormat="1" x14ac:dyDescent="0.25">
      <c r="Q252" s="195"/>
      <c r="R252" s="195"/>
      <c r="S252" s="195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</row>
    <row r="253" spans="17:45" s="54" customFormat="1" x14ac:dyDescent="0.25">
      <c r="Q253" s="195"/>
      <c r="R253" s="195"/>
      <c r="S253" s="195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</row>
    <row r="254" spans="17:45" s="54" customFormat="1" x14ac:dyDescent="0.25">
      <c r="Q254" s="195"/>
      <c r="R254" s="195"/>
      <c r="S254" s="195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</row>
    <row r="255" spans="17:45" s="54" customFormat="1" x14ac:dyDescent="0.25">
      <c r="Q255" s="195"/>
      <c r="R255" s="195"/>
      <c r="S255" s="195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</row>
    <row r="256" spans="17:45" s="54" customFormat="1" x14ac:dyDescent="0.25">
      <c r="Q256" s="195"/>
      <c r="R256" s="195"/>
      <c r="S256" s="195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</row>
    <row r="257" spans="17:45" s="54" customFormat="1" x14ac:dyDescent="0.25">
      <c r="Q257" s="195"/>
      <c r="R257" s="195"/>
      <c r="S257" s="195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</row>
    <row r="258" spans="17:45" s="54" customFormat="1" x14ac:dyDescent="0.25">
      <c r="Q258" s="195"/>
      <c r="R258" s="195"/>
      <c r="S258" s="195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</row>
    <row r="259" spans="17:45" s="54" customFormat="1" x14ac:dyDescent="0.25">
      <c r="Q259" s="195"/>
      <c r="R259" s="195"/>
      <c r="S259" s="195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</row>
    <row r="260" spans="17:45" s="54" customFormat="1" x14ac:dyDescent="0.25">
      <c r="Q260" s="195"/>
      <c r="R260" s="195"/>
      <c r="S260" s="195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</row>
    <row r="261" spans="17:45" s="54" customFormat="1" x14ac:dyDescent="0.25">
      <c r="Q261" s="195"/>
      <c r="R261" s="195"/>
      <c r="S261" s="195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</row>
    <row r="262" spans="17:45" s="54" customFormat="1" x14ac:dyDescent="0.25">
      <c r="Q262" s="195"/>
      <c r="R262" s="195"/>
      <c r="S262" s="195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</row>
    <row r="263" spans="17:45" s="54" customFormat="1" x14ac:dyDescent="0.25">
      <c r="Q263" s="195"/>
      <c r="R263" s="195"/>
      <c r="S263" s="195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</row>
    <row r="264" spans="17:45" s="54" customFormat="1" x14ac:dyDescent="0.25">
      <c r="Q264" s="195"/>
      <c r="R264" s="195"/>
      <c r="S264" s="195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</row>
    <row r="265" spans="17:45" s="54" customFormat="1" x14ac:dyDescent="0.25">
      <c r="Q265" s="195"/>
      <c r="R265" s="195"/>
      <c r="S265" s="195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</row>
    <row r="266" spans="17:45" s="54" customFormat="1" x14ac:dyDescent="0.25">
      <c r="Q266" s="195"/>
      <c r="R266" s="195"/>
      <c r="S266" s="195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</row>
    <row r="267" spans="17:45" s="54" customFormat="1" x14ac:dyDescent="0.25">
      <c r="Q267" s="195"/>
      <c r="R267" s="195"/>
      <c r="S267" s="195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</row>
    <row r="268" spans="17:45" s="54" customFormat="1" x14ac:dyDescent="0.25">
      <c r="Q268" s="195"/>
      <c r="R268" s="195"/>
      <c r="S268" s="195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</row>
    <row r="269" spans="17:45" s="54" customFormat="1" x14ac:dyDescent="0.25">
      <c r="Q269" s="195"/>
      <c r="R269" s="195"/>
      <c r="S269" s="195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</row>
    <row r="270" spans="17:45" s="54" customFormat="1" x14ac:dyDescent="0.25">
      <c r="Q270" s="195"/>
      <c r="R270" s="195"/>
      <c r="S270" s="195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</row>
    <row r="271" spans="17:45" s="54" customFormat="1" x14ac:dyDescent="0.25">
      <c r="Q271" s="195"/>
      <c r="R271" s="195"/>
      <c r="S271" s="195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</row>
    <row r="272" spans="17:45" s="54" customFormat="1" x14ac:dyDescent="0.25">
      <c r="Q272" s="195"/>
      <c r="R272" s="195"/>
      <c r="S272" s="195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</row>
    <row r="273" spans="17:45" s="54" customFormat="1" x14ac:dyDescent="0.25">
      <c r="Q273" s="195"/>
      <c r="R273" s="195"/>
      <c r="S273" s="195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</row>
    <row r="274" spans="17:45" s="54" customFormat="1" x14ac:dyDescent="0.25">
      <c r="Q274" s="195"/>
      <c r="R274" s="195"/>
      <c r="S274" s="195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</row>
    <row r="275" spans="17:45" s="54" customFormat="1" x14ac:dyDescent="0.25">
      <c r="Q275" s="195"/>
      <c r="R275" s="195"/>
      <c r="S275" s="195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</row>
    <row r="276" spans="17:45" s="54" customFormat="1" x14ac:dyDescent="0.25">
      <c r="Q276" s="195"/>
      <c r="R276" s="195"/>
      <c r="S276" s="195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</row>
    <row r="277" spans="17:45" s="54" customFormat="1" x14ac:dyDescent="0.25">
      <c r="Q277" s="195"/>
      <c r="R277" s="195"/>
      <c r="S277" s="195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</row>
    <row r="278" spans="17:45" s="54" customFormat="1" x14ac:dyDescent="0.25">
      <c r="Q278" s="195"/>
      <c r="R278" s="195"/>
      <c r="S278" s="195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</row>
    <row r="279" spans="17:45" s="54" customFormat="1" x14ac:dyDescent="0.25">
      <c r="Q279" s="195"/>
      <c r="R279" s="195"/>
      <c r="S279" s="195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</row>
    <row r="280" spans="17:45" s="54" customFormat="1" x14ac:dyDescent="0.25">
      <c r="Q280" s="195"/>
      <c r="R280" s="195"/>
      <c r="S280" s="195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</row>
    <row r="281" spans="17:45" s="54" customFormat="1" x14ac:dyDescent="0.25">
      <c r="Q281" s="195"/>
      <c r="R281" s="195"/>
      <c r="S281" s="195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</row>
    <row r="282" spans="17:45" s="54" customFormat="1" x14ac:dyDescent="0.25">
      <c r="Q282" s="195"/>
      <c r="R282" s="195"/>
      <c r="S282" s="195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</row>
    <row r="283" spans="17:45" s="54" customFormat="1" x14ac:dyDescent="0.25">
      <c r="Q283" s="195"/>
      <c r="R283" s="195"/>
      <c r="S283" s="195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</row>
    <row r="284" spans="17:45" s="54" customFormat="1" x14ac:dyDescent="0.25">
      <c r="Q284" s="195"/>
      <c r="R284" s="195"/>
      <c r="S284" s="195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</row>
    <row r="285" spans="17:45" s="54" customFormat="1" x14ac:dyDescent="0.25">
      <c r="Q285" s="195"/>
      <c r="R285" s="195"/>
      <c r="S285" s="195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</row>
    <row r="286" spans="17:45" s="54" customFormat="1" x14ac:dyDescent="0.25">
      <c r="Q286" s="195"/>
      <c r="R286" s="195"/>
      <c r="S286" s="195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</row>
    <row r="287" spans="17:45" s="54" customFormat="1" x14ac:dyDescent="0.25">
      <c r="Q287" s="195"/>
      <c r="R287" s="195"/>
      <c r="S287" s="195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</row>
    <row r="288" spans="17:45" s="54" customFormat="1" x14ac:dyDescent="0.25">
      <c r="Q288" s="195"/>
      <c r="R288" s="195"/>
      <c r="S288" s="195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</row>
    <row r="289" spans="17:45" s="54" customFormat="1" x14ac:dyDescent="0.25">
      <c r="Q289" s="195"/>
      <c r="R289" s="195"/>
      <c r="S289" s="195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</row>
    <row r="290" spans="17:45" s="54" customFormat="1" x14ac:dyDescent="0.25">
      <c r="Q290" s="195"/>
      <c r="R290" s="195"/>
      <c r="S290" s="195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</row>
    <row r="291" spans="17:45" s="54" customFormat="1" x14ac:dyDescent="0.25">
      <c r="Q291" s="195"/>
      <c r="R291" s="195"/>
      <c r="S291" s="195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</row>
    <row r="292" spans="17:45" s="54" customFormat="1" x14ac:dyDescent="0.25">
      <c r="Q292" s="195"/>
      <c r="R292" s="195"/>
      <c r="S292" s="195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</row>
    <row r="293" spans="17:45" s="54" customFormat="1" x14ac:dyDescent="0.25">
      <c r="Q293" s="195"/>
      <c r="R293" s="195"/>
      <c r="S293" s="195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</row>
    <row r="294" spans="17:45" s="54" customFormat="1" x14ac:dyDescent="0.25">
      <c r="Q294" s="195"/>
      <c r="R294" s="195"/>
      <c r="S294" s="195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</row>
    <row r="295" spans="17:45" s="54" customFormat="1" x14ac:dyDescent="0.25">
      <c r="Q295" s="195"/>
      <c r="R295" s="195"/>
      <c r="S295" s="195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</row>
    <row r="296" spans="17:45" s="54" customFormat="1" x14ac:dyDescent="0.25">
      <c r="Q296" s="195"/>
      <c r="R296" s="195"/>
      <c r="S296" s="195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</row>
    <row r="297" spans="17:45" s="54" customFormat="1" x14ac:dyDescent="0.25">
      <c r="Q297" s="195"/>
      <c r="R297" s="195"/>
      <c r="S297" s="195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</row>
    <row r="298" spans="17:45" s="54" customFormat="1" x14ac:dyDescent="0.25">
      <c r="Q298" s="195"/>
      <c r="R298" s="195"/>
      <c r="S298" s="195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</row>
    <row r="299" spans="17:45" s="54" customFormat="1" x14ac:dyDescent="0.25">
      <c r="Q299" s="195"/>
      <c r="R299" s="195"/>
      <c r="S299" s="195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</row>
    <row r="300" spans="17:45" s="54" customFormat="1" x14ac:dyDescent="0.25">
      <c r="Q300" s="195"/>
      <c r="R300" s="195"/>
      <c r="S300" s="195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</row>
    <row r="301" spans="17:45" s="54" customFormat="1" x14ac:dyDescent="0.25">
      <c r="Q301" s="195"/>
      <c r="R301" s="195"/>
      <c r="S301" s="195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</row>
    <row r="302" spans="17:45" s="54" customFormat="1" x14ac:dyDescent="0.25">
      <c r="Q302" s="195"/>
      <c r="R302" s="195"/>
      <c r="S302" s="195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</row>
    <row r="303" spans="17:45" s="54" customFormat="1" x14ac:dyDescent="0.25">
      <c r="Q303" s="195"/>
      <c r="R303" s="195"/>
      <c r="S303" s="195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</row>
    <row r="304" spans="17:45" s="54" customFormat="1" x14ac:dyDescent="0.25">
      <c r="Q304" s="195"/>
      <c r="R304" s="195"/>
      <c r="S304" s="195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</row>
    <row r="305" spans="17:45" s="54" customFormat="1" x14ac:dyDescent="0.25">
      <c r="Q305" s="195"/>
      <c r="R305" s="195"/>
      <c r="S305" s="195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</row>
    <row r="306" spans="17:45" s="54" customFormat="1" x14ac:dyDescent="0.25">
      <c r="Q306" s="195"/>
      <c r="R306" s="195"/>
      <c r="S306" s="195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</row>
    <row r="307" spans="17:45" s="54" customFormat="1" x14ac:dyDescent="0.25">
      <c r="Q307" s="195"/>
      <c r="R307" s="195"/>
      <c r="S307" s="195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</row>
    <row r="308" spans="17:45" s="54" customFormat="1" x14ac:dyDescent="0.25">
      <c r="Q308" s="195"/>
      <c r="R308" s="195"/>
      <c r="S308" s="195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</row>
    <row r="309" spans="17:45" s="54" customFormat="1" x14ac:dyDescent="0.25">
      <c r="Q309" s="195"/>
      <c r="R309" s="195"/>
      <c r="S309" s="195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</row>
    <row r="310" spans="17:45" s="54" customFormat="1" x14ac:dyDescent="0.25">
      <c r="Q310" s="195"/>
      <c r="R310" s="195"/>
      <c r="S310" s="195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</row>
    <row r="311" spans="17:45" s="54" customFormat="1" x14ac:dyDescent="0.25">
      <c r="Q311" s="195"/>
      <c r="R311" s="195"/>
      <c r="S311" s="195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</row>
    <row r="312" spans="17:45" s="54" customFormat="1" x14ac:dyDescent="0.25">
      <c r="Q312" s="195"/>
      <c r="R312" s="195"/>
      <c r="S312" s="195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</row>
    <row r="313" spans="17:45" s="54" customFormat="1" x14ac:dyDescent="0.25">
      <c r="Q313" s="195"/>
      <c r="R313" s="195"/>
      <c r="S313" s="195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</row>
    <row r="314" spans="17:45" s="54" customFormat="1" x14ac:dyDescent="0.25">
      <c r="Q314" s="195"/>
      <c r="R314" s="195"/>
      <c r="S314" s="195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</row>
    <row r="315" spans="17:45" s="54" customFormat="1" x14ac:dyDescent="0.25">
      <c r="Q315" s="195"/>
      <c r="R315" s="195"/>
      <c r="S315" s="195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</row>
    <row r="316" spans="17:45" s="54" customFormat="1" x14ac:dyDescent="0.25">
      <c r="Q316" s="195"/>
      <c r="R316" s="195"/>
      <c r="S316" s="195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</row>
    <row r="317" spans="17:45" s="54" customFormat="1" x14ac:dyDescent="0.25">
      <c r="Q317" s="195"/>
      <c r="R317" s="195"/>
      <c r="S317" s="195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</row>
    <row r="318" spans="17:45" s="54" customFormat="1" x14ac:dyDescent="0.25">
      <c r="Q318" s="195"/>
      <c r="R318" s="195"/>
      <c r="S318" s="195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</row>
    <row r="319" spans="17:45" s="54" customFormat="1" x14ac:dyDescent="0.25">
      <c r="Q319" s="195"/>
      <c r="R319" s="195"/>
      <c r="S319" s="195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</row>
    <row r="320" spans="17:45" s="54" customFormat="1" x14ac:dyDescent="0.25">
      <c r="Q320" s="195"/>
      <c r="R320" s="195"/>
      <c r="S320" s="195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</row>
    <row r="321" spans="17:45" s="54" customFormat="1" x14ac:dyDescent="0.25">
      <c r="Q321" s="195"/>
      <c r="R321" s="195"/>
      <c r="S321" s="195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</row>
    <row r="322" spans="17:45" s="54" customFormat="1" x14ac:dyDescent="0.25">
      <c r="Q322" s="195"/>
      <c r="R322" s="195"/>
      <c r="S322" s="195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</row>
    <row r="323" spans="17:45" s="54" customFormat="1" x14ac:dyDescent="0.25">
      <c r="Q323" s="195"/>
      <c r="R323" s="195"/>
      <c r="S323" s="195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</row>
    <row r="324" spans="17:45" s="54" customFormat="1" x14ac:dyDescent="0.25">
      <c r="Q324" s="195"/>
      <c r="R324" s="195"/>
      <c r="S324" s="195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</row>
    <row r="325" spans="17:45" s="54" customFormat="1" x14ac:dyDescent="0.25">
      <c r="Q325" s="195"/>
      <c r="R325" s="195"/>
      <c r="S325" s="195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</row>
    <row r="326" spans="17:45" s="54" customFormat="1" x14ac:dyDescent="0.25">
      <c r="Q326" s="195"/>
      <c r="R326" s="195"/>
      <c r="S326" s="195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</row>
    <row r="327" spans="17:45" s="54" customFormat="1" x14ac:dyDescent="0.25">
      <c r="Q327" s="195"/>
      <c r="R327" s="195"/>
      <c r="S327" s="195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</row>
    <row r="328" spans="17:45" s="54" customFormat="1" x14ac:dyDescent="0.25">
      <c r="Q328" s="195"/>
      <c r="R328" s="195"/>
      <c r="S328" s="195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</row>
    <row r="329" spans="17:45" s="54" customFormat="1" x14ac:dyDescent="0.25">
      <c r="Q329" s="195"/>
      <c r="R329" s="195"/>
      <c r="S329" s="195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</row>
    <row r="330" spans="17:45" s="54" customFormat="1" x14ac:dyDescent="0.25">
      <c r="Q330" s="195"/>
      <c r="R330" s="195"/>
      <c r="S330" s="195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</row>
    <row r="331" spans="17:45" s="54" customFormat="1" x14ac:dyDescent="0.25">
      <c r="Q331" s="195"/>
      <c r="R331" s="195"/>
      <c r="S331" s="195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</row>
    <row r="332" spans="17:45" s="54" customFormat="1" x14ac:dyDescent="0.25">
      <c r="Q332" s="195"/>
      <c r="R332" s="195"/>
      <c r="S332" s="195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</row>
    <row r="333" spans="17:45" s="54" customFormat="1" x14ac:dyDescent="0.25">
      <c r="Q333" s="195"/>
      <c r="R333" s="195"/>
      <c r="S333" s="195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</row>
    <row r="334" spans="17:45" s="54" customFormat="1" x14ac:dyDescent="0.25">
      <c r="Q334" s="195"/>
      <c r="R334" s="195"/>
      <c r="S334" s="195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</row>
    <row r="335" spans="17:45" s="54" customFormat="1" x14ac:dyDescent="0.25">
      <c r="Q335" s="195"/>
      <c r="R335" s="195"/>
      <c r="S335" s="195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</row>
    <row r="336" spans="17:45" s="54" customFormat="1" x14ac:dyDescent="0.25">
      <c r="Q336" s="195"/>
      <c r="R336" s="195"/>
      <c r="S336" s="195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</row>
    <row r="337" spans="17:45" s="54" customFormat="1" x14ac:dyDescent="0.25">
      <c r="Q337" s="195"/>
      <c r="R337" s="195"/>
      <c r="S337" s="195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</row>
    <row r="338" spans="17:45" s="54" customFormat="1" x14ac:dyDescent="0.25">
      <c r="Q338" s="195"/>
      <c r="R338" s="195"/>
      <c r="S338" s="195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</row>
    <row r="339" spans="17:45" s="54" customFormat="1" x14ac:dyDescent="0.25">
      <c r="Q339" s="195"/>
      <c r="R339" s="195"/>
      <c r="S339" s="195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</row>
    <row r="340" spans="17:45" s="54" customFormat="1" x14ac:dyDescent="0.25">
      <c r="Q340" s="195"/>
      <c r="R340" s="195"/>
      <c r="S340" s="195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</row>
    <row r="341" spans="17:45" s="54" customFormat="1" x14ac:dyDescent="0.25">
      <c r="Q341" s="195"/>
      <c r="R341" s="195"/>
      <c r="S341" s="195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</row>
    <row r="342" spans="17:45" s="54" customFormat="1" x14ac:dyDescent="0.25">
      <c r="Q342" s="195"/>
      <c r="R342" s="195"/>
      <c r="S342" s="195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</row>
    <row r="343" spans="17:45" s="54" customFormat="1" x14ac:dyDescent="0.25">
      <c r="Q343" s="195"/>
      <c r="R343" s="195"/>
      <c r="S343" s="195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</row>
    <row r="344" spans="17:45" s="54" customFormat="1" x14ac:dyDescent="0.25">
      <c r="Q344" s="195"/>
      <c r="R344" s="195"/>
      <c r="S344" s="195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</row>
    <row r="345" spans="17:45" s="54" customFormat="1" x14ac:dyDescent="0.25">
      <c r="Q345" s="195"/>
      <c r="R345" s="195"/>
      <c r="S345" s="195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</row>
    <row r="346" spans="17:45" s="54" customFormat="1" x14ac:dyDescent="0.25">
      <c r="Q346" s="195"/>
      <c r="R346" s="195"/>
      <c r="S346" s="195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</row>
    <row r="347" spans="17:45" s="54" customFormat="1" x14ac:dyDescent="0.25">
      <c r="Q347" s="195"/>
      <c r="R347" s="195"/>
      <c r="S347" s="195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</row>
    <row r="348" spans="17:45" s="54" customFormat="1" x14ac:dyDescent="0.25">
      <c r="Q348" s="195"/>
      <c r="R348" s="195"/>
      <c r="S348" s="195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</row>
    <row r="349" spans="17:45" s="54" customFormat="1" x14ac:dyDescent="0.25">
      <c r="Q349" s="195"/>
      <c r="R349" s="195"/>
      <c r="S349" s="195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</row>
    <row r="350" spans="17:45" s="54" customFormat="1" x14ac:dyDescent="0.25">
      <c r="Q350" s="195"/>
      <c r="R350" s="195"/>
      <c r="S350" s="195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</row>
    <row r="351" spans="17:45" s="54" customFormat="1" x14ac:dyDescent="0.25">
      <c r="Q351" s="195"/>
      <c r="R351" s="195"/>
      <c r="S351" s="195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</row>
    <row r="352" spans="17:45" s="54" customFormat="1" x14ac:dyDescent="0.25">
      <c r="Q352" s="195"/>
      <c r="R352" s="195"/>
      <c r="S352" s="195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</row>
    <row r="353" spans="17:45" s="54" customFormat="1" x14ac:dyDescent="0.25">
      <c r="Q353" s="195"/>
      <c r="R353" s="195"/>
      <c r="S353" s="195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</row>
    <row r="354" spans="17:45" s="54" customFormat="1" x14ac:dyDescent="0.25">
      <c r="Q354" s="195"/>
      <c r="R354" s="195"/>
      <c r="S354" s="195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</row>
    <row r="355" spans="17:45" s="54" customFormat="1" x14ac:dyDescent="0.25">
      <c r="Q355" s="195"/>
      <c r="R355" s="195"/>
      <c r="S355" s="195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</row>
    <row r="356" spans="17:45" s="54" customFormat="1" x14ac:dyDescent="0.25">
      <c r="Q356" s="195"/>
      <c r="R356" s="195"/>
      <c r="S356" s="195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</row>
    <row r="357" spans="17:45" s="54" customFormat="1" x14ac:dyDescent="0.25">
      <c r="Q357" s="195"/>
      <c r="R357" s="195"/>
      <c r="S357" s="195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</row>
    <row r="358" spans="17:45" s="54" customFormat="1" x14ac:dyDescent="0.25">
      <c r="Q358" s="195"/>
      <c r="R358" s="195"/>
      <c r="S358" s="195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</row>
    <row r="359" spans="17:45" s="54" customFormat="1" x14ac:dyDescent="0.25">
      <c r="Q359" s="195"/>
      <c r="R359" s="195"/>
      <c r="S359" s="195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</row>
    <row r="360" spans="17:45" s="54" customFormat="1" x14ac:dyDescent="0.25">
      <c r="Q360" s="195"/>
      <c r="R360" s="195"/>
      <c r="S360" s="195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</row>
    <row r="361" spans="17:45" s="54" customFormat="1" x14ac:dyDescent="0.25">
      <c r="Q361" s="195"/>
      <c r="R361" s="195"/>
      <c r="S361" s="195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</row>
    <row r="362" spans="17:45" s="54" customFormat="1" x14ac:dyDescent="0.25">
      <c r="Q362" s="195"/>
      <c r="R362" s="195"/>
      <c r="S362" s="195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</row>
    <row r="363" spans="17:45" s="54" customFormat="1" x14ac:dyDescent="0.25">
      <c r="Q363" s="195"/>
      <c r="R363" s="195"/>
      <c r="S363" s="195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</row>
    <row r="364" spans="17:45" s="54" customFormat="1" x14ac:dyDescent="0.25">
      <c r="Q364" s="195"/>
      <c r="R364" s="195"/>
      <c r="S364" s="195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</row>
    <row r="365" spans="17:45" s="54" customFormat="1" x14ac:dyDescent="0.25">
      <c r="Q365" s="195"/>
      <c r="R365" s="195"/>
      <c r="S365" s="195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</row>
    <row r="366" spans="17:45" s="54" customFormat="1" x14ac:dyDescent="0.25">
      <c r="Q366" s="195"/>
      <c r="R366" s="195"/>
      <c r="S366" s="195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</row>
    <row r="367" spans="17:45" s="54" customFormat="1" x14ac:dyDescent="0.25">
      <c r="Q367" s="195"/>
      <c r="R367" s="195"/>
      <c r="S367" s="195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</row>
    <row r="368" spans="17:45" s="54" customFormat="1" x14ac:dyDescent="0.25">
      <c r="Q368" s="195"/>
      <c r="R368" s="195"/>
      <c r="S368" s="195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</row>
    <row r="369" spans="17:45" s="54" customFormat="1" x14ac:dyDescent="0.25">
      <c r="Q369" s="195"/>
      <c r="R369" s="195"/>
      <c r="S369" s="195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</row>
    <row r="370" spans="17:45" s="54" customFormat="1" x14ac:dyDescent="0.25">
      <c r="Q370" s="195"/>
      <c r="R370" s="195"/>
      <c r="S370" s="195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</row>
    <row r="371" spans="17:45" s="54" customFormat="1" x14ac:dyDescent="0.25">
      <c r="Q371" s="195"/>
      <c r="R371" s="195"/>
      <c r="S371" s="195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</row>
    <row r="372" spans="17:45" s="54" customFormat="1" x14ac:dyDescent="0.25">
      <c r="Q372" s="195"/>
      <c r="R372" s="195"/>
      <c r="S372" s="195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</row>
    <row r="373" spans="17:45" s="54" customFormat="1" x14ac:dyDescent="0.25">
      <c r="Q373" s="195"/>
      <c r="R373" s="195"/>
      <c r="S373" s="195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</row>
    <row r="374" spans="17:45" s="54" customFormat="1" x14ac:dyDescent="0.25">
      <c r="Q374" s="195"/>
      <c r="R374" s="195"/>
      <c r="S374" s="195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</row>
    <row r="375" spans="17:45" s="54" customFormat="1" x14ac:dyDescent="0.25">
      <c r="Q375" s="195"/>
      <c r="R375" s="195"/>
      <c r="S375" s="195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</row>
    <row r="376" spans="17:45" s="54" customFormat="1" x14ac:dyDescent="0.25">
      <c r="Q376" s="195"/>
      <c r="R376" s="195"/>
      <c r="S376" s="195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</row>
    <row r="377" spans="17:45" s="54" customFormat="1" x14ac:dyDescent="0.25">
      <c r="Q377" s="195"/>
      <c r="R377" s="195"/>
      <c r="S377" s="195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</row>
    <row r="378" spans="17:45" s="54" customFormat="1" x14ac:dyDescent="0.25">
      <c r="Q378" s="195"/>
      <c r="R378" s="195"/>
      <c r="S378" s="195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</row>
    <row r="379" spans="17:45" s="54" customFormat="1" x14ac:dyDescent="0.25">
      <c r="Q379" s="195"/>
      <c r="R379" s="195"/>
      <c r="S379" s="195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</row>
    <row r="380" spans="17:45" s="54" customFormat="1" x14ac:dyDescent="0.25">
      <c r="Q380" s="195"/>
      <c r="R380" s="195"/>
      <c r="S380" s="195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</row>
    <row r="381" spans="17:45" s="54" customFormat="1" x14ac:dyDescent="0.25">
      <c r="Q381" s="195"/>
      <c r="R381" s="195"/>
      <c r="S381" s="195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</row>
    <row r="382" spans="17:45" s="54" customFormat="1" x14ac:dyDescent="0.25">
      <c r="Q382" s="195"/>
      <c r="R382" s="195"/>
      <c r="S382" s="195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</row>
    <row r="383" spans="17:45" s="54" customFormat="1" x14ac:dyDescent="0.25">
      <c r="Q383" s="195"/>
      <c r="R383" s="195"/>
      <c r="S383" s="195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</row>
    <row r="384" spans="17:45" s="54" customFormat="1" x14ac:dyDescent="0.25">
      <c r="Q384" s="195"/>
      <c r="R384" s="195"/>
      <c r="S384" s="195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</row>
    <row r="385" spans="17:45" s="54" customFormat="1" x14ac:dyDescent="0.25">
      <c r="Q385" s="195"/>
      <c r="R385" s="195"/>
      <c r="S385" s="195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</row>
    <row r="386" spans="17:45" s="54" customFormat="1" x14ac:dyDescent="0.25">
      <c r="Q386" s="195"/>
      <c r="R386" s="195"/>
      <c r="S386" s="195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</row>
    <row r="387" spans="17:45" s="54" customFormat="1" x14ac:dyDescent="0.25">
      <c r="Q387" s="195"/>
      <c r="R387" s="195"/>
      <c r="S387" s="195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</row>
    <row r="388" spans="17:45" s="54" customFormat="1" x14ac:dyDescent="0.25">
      <c r="Q388" s="195"/>
      <c r="R388" s="195"/>
      <c r="S388" s="195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</row>
    <row r="389" spans="17:45" s="54" customFormat="1" x14ac:dyDescent="0.25">
      <c r="Q389" s="195"/>
      <c r="R389" s="195"/>
      <c r="S389" s="195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</row>
    <row r="390" spans="17:45" s="54" customFormat="1" x14ac:dyDescent="0.25">
      <c r="Q390" s="195"/>
      <c r="R390" s="195"/>
      <c r="S390" s="195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</row>
    <row r="391" spans="17:45" s="54" customFormat="1" x14ac:dyDescent="0.25">
      <c r="Q391" s="195"/>
      <c r="R391" s="195"/>
      <c r="S391" s="195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</row>
    <row r="392" spans="17:45" s="54" customFormat="1" x14ac:dyDescent="0.25">
      <c r="Q392" s="195"/>
      <c r="R392" s="195"/>
      <c r="S392" s="195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</row>
    <row r="393" spans="17:45" s="54" customFormat="1" x14ac:dyDescent="0.25">
      <c r="Q393" s="195"/>
      <c r="R393" s="195"/>
      <c r="S393" s="195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</row>
    <row r="394" spans="17:45" s="54" customFormat="1" x14ac:dyDescent="0.25">
      <c r="Q394" s="195"/>
      <c r="R394" s="195"/>
      <c r="S394" s="195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</row>
    <row r="395" spans="17:45" s="54" customFormat="1" x14ac:dyDescent="0.25">
      <c r="Q395" s="195"/>
      <c r="R395" s="195"/>
      <c r="S395" s="195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</row>
    <row r="396" spans="17:45" s="54" customFormat="1" x14ac:dyDescent="0.25">
      <c r="Q396" s="195"/>
      <c r="R396" s="195"/>
      <c r="S396" s="195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</row>
    <row r="397" spans="17:45" s="54" customFormat="1" x14ac:dyDescent="0.25">
      <c r="Q397" s="195"/>
      <c r="R397" s="195"/>
      <c r="S397" s="195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</row>
    <row r="398" spans="17:45" s="54" customFormat="1" x14ac:dyDescent="0.25">
      <c r="Q398" s="195"/>
      <c r="R398" s="195"/>
      <c r="S398" s="195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</row>
    <row r="399" spans="17:45" s="54" customFormat="1" x14ac:dyDescent="0.25">
      <c r="Q399" s="195"/>
      <c r="R399" s="195"/>
      <c r="S399" s="195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</row>
    <row r="400" spans="17:45" s="54" customFormat="1" x14ac:dyDescent="0.25">
      <c r="Q400" s="195"/>
      <c r="R400" s="195"/>
      <c r="S400" s="195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</row>
    <row r="401" spans="17:45" s="54" customFormat="1" x14ac:dyDescent="0.25">
      <c r="Q401" s="195"/>
      <c r="R401" s="195"/>
      <c r="S401" s="195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</row>
    <row r="402" spans="17:45" s="54" customFormat="1" x14ac:dyDescent="0.25">
      <c r="Q402" s="195"/>
      <c r="R402" s="195"/>
      <c r="S402" s="195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</row>
    <row r="403" spans="17:45" s="54" customFormat="1" x14ac:dyDescent="0.25">
      <c r="Q403" s="195"/>
      <c r="R403" s="195"/>
      <c r="S403" s="195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</row>
    <row r="404" spans="17:45" s="54" customFormat="1" x14ac:dyDescent="0.25">
      <c r="Q404" s="195"/>
      <c r="R404" s="195"/>
      <c r="S404" s="195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</row>
    <row r="405" spans="17:45" s="54" customFormat="1" x14ac:dyDescent="0.25">
      <c r="Q405" s="195"/>
      <c r="R405" s="195"/>
      <c r="S405" s="195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</row>
    <row r="406" spans="17:45" s="54" customFormat="1" x14ac:dyDescent="0.25">
      <c r="Q406" s="195"/>
      <c r="R406" s="195"/>
      <c r="S406" s="195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</row>
    <row r="407" spans="17:45" s="54" customFormat="1" x14ac:dyDescent="0.25">
      <c r="Q407" s="195"/>
      <c r="R407" s="195"/>
      <c r="S407" s="195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</row>
    <row r="408" spans="17:45" s="54" customFormat="1" x14ac:dyDescent="0.25">
      <c r="Q408" s="195"/>
      <c r="R408" s="195"/>
      <c r="S408" s="195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</row>
    <row r="409" spans="17:45" s="54" customFormat="1" x14ac:dyDescent="0.25">
      <c r="Q409" s="195"/>
      <c r="R409" s="195"/>
      <c r="S409" s="195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</row>
    <row r="410" spans="17:45" s="54" customFormat="1" x14ac:dyDescent="0.25">
      <c r="Q410" s="195"/>
      <c r="R410" s="195"/>
      <c r="S410" s="195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</row>
    <row r="411" spans="17:45" s="54" customFormat="1" x14ac:dyDescent="0.25">
      <c r="Q411" s="195"/>
      <c r="R411" s="195"/>
      <c r="S411" s="195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</row>
    <row r="412" spans="17:45" s="54" customFormat="1" x14ac:dyDescent="0.25">
      <c r="Q412" s="195"/>
      <c r="R412" s="195"/>
      <c r="S412" s="195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</row>
    <row r="413" spans="17:45" s="54" customFormat="1" x14ac:dyDescent="0.25">
      <c r="Q413" s="195"/>
      <c r="R413" s="195"/>
      <c r="S413" s="195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</row>
    <row r="414" spans="17:45" s="54" customFormat="1" x14ac:dyDescent="0.25">
      <c r="Q414" s="195"/>
      <c r="R414" s="195"/>
      <c r="S414" s="195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</row>
    <row r="415" spans="17:45" s="54" customFormat="1" x14ac:dyDescent="0.25">
      <c r="Q415" s="195"/>
      <c r="R415" s="195"/>
      <c r="S415" s="195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</row>
    <row r="416" spans="17:45" s="54" customFormat="1" x14ac:dyDescent="0.25">
      <c r="Q416" s="195"/>
      <c r="R416" s="195"/>
      <c r="S416" s="195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</row>
    <row r="417" spans="17:45" s="54" customFormat="1" x14ac:dyDescent="0.25">
      <c r="Q417" s="195"/>
      <c r="R417" s="195"/>
      <c r="S417" s="195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</row>
    <row r="418" spans="17:45" s="54" customFormat="1" x14ac:dyDescent="0.25">
      <c r="Q418" s="195"/>
      <c r="R418" s="195"/>
      <c r="S418" s="195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</row>
    <row r="419" spans="17:45" s="54" customFormat="1" x14ac:dyDescent="0.25">
      <c r="Q419" s="195"/>
      <c r="R419" s="195"/>
      <c r="S419" s="195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</row>
    <row r="420" spans="17:45" s="54" customFormat="1" x14ac:dyDescent="0.25">
      <c r="Q420" s="195"/>
      <c r="R420" s="195"/>
      <c r="S420" s="195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</row>
    <row r="421" spans="17:45" s="54" customFormat="1" x14ac:dyDescent="0.25">
      <c r="Q421" s="195"/>
      <c r="R421" s="195"/>
      <c r="S421" s="195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</row>
    <row r="422" spans="17:45" s="54" customFormat="1" x14ac:dyDescent="0.25">
      <c r="Q422" s="195"/>
      <c r="R422" s="195"/>
      <c r="S422" s="195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</row>
    <row r="423" spans="17:45" s="54" customFormat="1" x14ac:dyDescent="0.25">
      <c r="Q423" s="195"/>
      <c r="R423" s="195"/>
      <c r="S423" s="195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</row>
    <row r="424" spans="17:45" s="54" customFormat="1" x14ac:dyDescent="0.25">
      <c r="Q424" s="195"/>
      <c r="R424" s="195"/>
      <c r="S424" s="195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</row>
    <row r="425" spans="17:45" s="54" customFormat="1" x14ac:dyDescent="0.25">
      <c r="Q425" s="195"/>
      <c r="R425" s="195"/>
      <c r="S425" s="195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</row>
    <row r="426" spans="17:45" s="54" customFormat="1" x14ac:dyDescent="0.25">
      <c r="Q426" s="195"/>
      <c r="R426" s="195"/>
      <c r="S426" s="195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</row>
    <row r="427" spans="17:45" s="54" customFormat="1" x14ac:dyDescent="0.25">
      <c r="Q427" s="195"/>
      <c r="R427" s="195"/>
      <c r="S427" s="195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</row>
    <row r="428" spans="17:45" s="54" customFormat="1" x14ac:dyDescent="0.25">
      <c r="Q428" s="195"/>
      <c r="R428" s="195"/>
      <c r="S428" s="195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</row>
    <row r="429" spans="17:45" s="54" customFormat="1" x14ac:dyDescent="0.25">
      <c r="Q429" s="195"/>
      <c r="R429" s="195"/>
      <c r="S429" s="195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</row>
    <row r="430" spans="17:45" s="54" customFormat="1" x14ac:dyDescent="0.25">
      <c r="Q430" s="195"/>
      <c r="R430" s="195"/>
      <c r="S430" s="195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</row>
    <row r="431" spans="17:45" s="54" customFormat="1" x14ac:dyDescent="0.25">
      <c r="Q431" s="195"/>
      <c r="R431" s="195"/>
      <c r="S431" s="195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</row>
    <row r="432" spans="17:45" s="54" customFormat="1" x14ac:dyDescent="0.25">
      <c r="Q432" s="195"/>
      <c r="R432" s="195"/>
      <c r="S432" s="195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</row>
    <row r="433" spans="17:45" s="54" customFormat="1" x14ac:dyDescent="0.25">
      <c r="Q433" s="195"/>
      <c r="R433" s="195"/>
      <c r="S433" s="195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</row>
    <row r="434" spans="17:45" s="54" customFormat="1" x14ac:dyDescent="0.25">
      <c r="Q434" s="195"/>
      <c r="R434" s="195"/>
      <c r="S434" s="195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</row>
    <row r="435" spans="17:45" s="54" customFormat="1" x14ac:dyDescent="0.25">
      <c r="Q435" s="195"/>
      <c r="R435" s="195"/>
      <c r="S435" s="195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</row>
    <row r="436" spans="17:45" s="54" customFormat="1" x14ac:dyDescent="0.25">
      <c r="Q436" s="195"/>
      <c r="R436" s="195"/>
      <c r="S436" s="195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</row>
    <row r="437" spans="17:45" s="54" customFormat="1" x14ac:dyDescent="0.25">
      <c r="Q437" s="195"/>
      <c r="R437" s="195"/>
      <c r="S437" s="195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</row>
    <row r="438" spans="17:45" s="54" customFormat="1" x14ac:dyDescent="0.25">
      <c r="Q438" s="195"/>
      <c r="R438" s="195"/>
      <c r="S438" s="195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</row>
    <row r="439" spans="17:45" s="54" customFormat="1" x14ac:dyDescent="0.25">
      <c r="Q439" s="195"/>
      <c r="R439" s="195"/>
      <c r="S439" s="195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</row>
    <row r="440" spans="17:45" s="54" customFormat="1" x14ac:dyDescent="0.25">
      <c r="Q440" s="195"/>
      <c r="R440" s="195"/>
      <c r="S440" s="195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</row>
    <row r="441" spans="17:45" s="54" customFormat="1" x14ac:dyDescent="0.25">
      <c r="Q441" s="195"/>
      <c r="R441" s="195"/>
      <c r="S441" s="195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</row>
    <row r="442" spans="17:45" s="54" customFormat="1" x14ac:dyDescent="0.25">
      <c r="Q442" s="195"/>
      <c r="R442" s="195"/>
      <c r="S442" s="195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</row>
    <row r="443" spans="17:45" s="54" customFormat="1" x14ac:dyDescent="0.25">
      <c r="Q443" s="195"/>
      <c r="R443" s="195"/>
      <c r="S443" s="195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</row>
    <row r="444" spans="17:45" s="54" customFormat="1" x14ac:dyDescent="0.25">
      <c r="Q444" s="195"/>
      <c r="R444" s="195"/>
      <c r="S444" s="195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</row>
    <row r="445" spans="17:45" s="54" customFormat="1" x14ac:dyDescent="0.25">
      <c r="Q445" s="195"/>
      <c r="R445" s="195"/>
      <c r="S445" s="195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</row>
    <row r="446" spans="17:45" s="54" customFormat="1" x14ac:dyDescent="0.25">
      <c r="Q446" s="195"/>
      <c r="R446" s="195"/>
      <c r="S446" s="195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</row>
    <row r="447" spans="17:45" s="54" customFormat="1" x14ac:dyDescent="0.25">
      <c r="Q447" s="195"/>
      <c r="R447" s="195"/>
      <c r="S447" s="195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</row>
    <row r="448" spans="17:45" s="54" customFormat="1" x14ac:dyDescent="0.25">
      <c r="Q448" s="195"/>
      <c r="R448" s="195"/>
      <c r="S448" s="195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</row>
    <row r="449" spans="17:45" s="54" customFormat="1" x14ac:dyDescent="0.25">
      <c r="Q449" s="195"/>
      <c r="R449" s="195"/>
      <c r="S449" s="195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</row>
    <row r="450" spans="17:45" s="54" customFormat="1" x14ac:dyDescent="0.25">
      <c r="Q450" s="195"/>
      <c r="R450" s="195"/>
      <c r="S450" s="195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</row>
    <row r="451" spans="17:45" s="54" customFormat="1" x14ac:dyDescent="0.25">
      <c r="Q451" s="195"/>
      <c r="R451" s="195"/>
      <c r="S451" s="195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</row>
    <row r="452" spans="17:45" s="54" customFormat="1" x14ac:dyDescent="0.25">
      <c r="Q452" s="195"/>
      <c r="R452" s="195"/>
      <c r="S452" s="195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</row>
    <row r="453" spans="17:45" s="54" customFormat="1" x14ac:dyDescent="0.25">
      <c r="Q453" s="195"/>
      <c r="R453" s="195"/>
      <c r="S453" s="195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</row>
    <row r="454" spans="17:45" s="54" customFormat="1" x14ac:dyDescent="0.25">
      <c r="Q454" s="195"/>
      <c r="R454" s="195"/>
      <c r="S454" s="195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</row>
    <row r="455" spans="17:45" s="54" customFormat="1" x14ac:dyDescent="0.25">
      <c r="Q455" s="195"/>
      <c r="R455" s="195"/>
      <c r="S455" s="195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</row>
    <row r="456" spans="17:45" s="54" customFormat="1" x14ac:dyDescent="0.25">
      <c r="Q456" s="195"/>
      <c r="R456" s="195"/>
      <c r="S456" s="195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</row>
    <row r="457" spans="17:45" s="54" customFormat="1" x14ac:dyDescent="0.25">
      <c r="Q457" s="195"/>
      <c r="R457" s="195"/>
      <c r="S457" s="195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</row>
    <row r="458" spans="17:45" s="54" customFormat="1" x14ac:dyDescent="0.25">
      <c r="Q458" s="195"/>
      <c r="R458" s="195"/>
      <c r="S458" s="195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  <c r="AQ458" s="90"/>
      <c r="AR458" s="90"/>
      <c r="AS458" s="90"/>
    </row>
    <row r="459" spans="17:45" s="54" customFormat="1" x14ac:dyDescent="0.25">
      <c r="Q459" s="195"/>
      <c r="R459" s="195"/>
      <c r="S459" s="195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</row>
    <row r="460" spans="17:45" s="54" customFormat="1" x14ac:dyDescent="0.25">
      <c r="Q460" s="195"/>
      <c r="R460" s="195"/>
      <c r="S460" s="195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  <c r="AQ460" s="90"/>
      <c r="AR460" s="90"/>
      <c r="AS460" s="90"/>
    </row>
    <row r="461" spans="17:45" s="54" customFormat="1" x14ac:dyDescent="0.25">
      <c r="Q461" s="195"/>
      <c r="R461" s="195"/>
      <c r="S461" s="195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</row>
    <row r="462" spans="17:45" s="54" customFormat="1" x14ac:dyDescent="0.25">
      <c r="Q462" s="195"/>
      <c r="R462" s="195"/>
      <c r="S462" s="195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  <c r="AQ462" s="90"/>
      <c r="AR462" s="90"/>
      <c r="AS462" s="90"/>
    </row>
    <row r="463" spans="17:45" s="54" customFormat="1" x14ac:dyDescent="0.25">
      <c r="Q463" s="195"/>
      <c r="R463" s="195"/>
      <c r="S463" s="195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</row>
    <row r="464" spans="17:45" s="54" customFormat="1" x14ac:dyDescent="0.25">
      <c r="Q464" s="195"/>
      <c r="R464" s="195"/>
      <c r="S464" s="195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90"/>
      <c r="AQ464" s="90"/>
      <c r="AR464" s="90"/>
      <c r="AS464" s="90"/>
    </row>
    <row r="465" spans="17:45" s="54" customFormat="1" x14ac:dyDescent="0.25">
      <c r="Q465" s="195"/>
      <c r="R465" s="195"/>
      <c r="S465" s="195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  <c r="AQ465" s="90"/>
      <c r="AR465" s="90"/>
      <c r="AS465" s="90"/>
    </row>
  </sheetData>
  <autoFilter ref="A14:BN59" xr:uid="{97535D58-476E-49B2-B01A-E665D3F7B70D}"/>
  <mergeCells count="15">
    <mergeCell ref="L13:P13"/>
    <mergeCell ref="Q13:S13"/>
    <mergeCell ref="D62:H62"/>
    <mergeCell ref="L62:O62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58">
    <cfRule type="expression" priority="9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3A310-DCA1-48FD-BC4D-749C15F43A32}">
  <sheetPr>
    <tabColor rgb="FF00B050"/>
    <pageSetUpPr fitToPage="1"/>
  </sheetPr>
  <dimension ref="A1:BQ463"/>
  <sheetViews>
    <sheetView showZeros="0" topLeftCell="A39" zoomScaleNormal="100" workbookViewId="0">
      <selection activeCell="F56" sqref="F15:P56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7" width="8.28515625" style="4" customWidth="1"/>
    <col min="8" max="15" width="10.7109375" style="4" customWidth="1"/>
    <col min="16" max="16" width="13.28515625" style="4" customWidth="1"/>
    <col min="17" max="19" width="5.7109375" style="195" customWidth="1" outlineLevel="1"/>
    <col min="20" max="22" width="10.7109375" style="90" customWidth="1" outlineLevel="1"/>
    <col min="23" max="45" width="10.7109375" style="90" customWidth="1"/>
    <col min="46" max="66" width="8.85546875" style="54"/>
    <col min="67" max="16384" width="8.85546875" style="4"/>
  </cols>
  <sheetData>
    <row r="1" spans="1:68" ht="15" x14ac:dyDescent="0.2">
      <c r="A1" s="408" t="s">
        <v>519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68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68" ht="15" x14ac:dyDescent="0.2">
      <c r="A3" s="409" t="str">
        <f>Kopsavilkums!C27</f>
        <v>Kūtsmēslu krātuve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4" spans="1:68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</row>
    <row r="5" spans="1:68" x14ac:dyDescent="0.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68" x14ac:dyDescent="0.2">
      <c r="A6" s="1" t="s">
        <v>64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68" x14ac:dyDescent="0.2">
      <c r="A7" s="1" t="s">
        <v>65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68" x14ac:dyDescent="0.2">
      <c r="A8" s="2" t="s">
        <v>66</v>
      </c>
      <c r="B8" s="8"/>
      <c r="C8" s="12"/>
      <c r="D8" s="10"/>
      <c r="E8" s="5"/>
      <c r="F8" s="10"/>
      <c r="G8" s="10"/>
      <c r="H8" s="11"/>
      <c r="I8" s="13"/>
      <c r="J8" s="11"/>
      <c r="K8" s="194"/>
      <c r="L8" s="11"/>
      <c r="M8" s="11"/>
      <c r="N8" s="11"/>
      <c r="O8" s="11"/>
      <c r="P8" s="11"/>
    </row>
    <row r="9" spans="1:68" x14ac:dyDescent="0.2">
      <c r="A9" s="1" t="s">
        <v>54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0</v>
      </c>
      <c r="P9" s="18">
        <f>P57</f>
        <v>0</v>
      </c>
    </row>
    <row r="10" spans="1:68" ht="4.9000000000000004" customHeight="1" x14ac:dyDescent="0.2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68" x14ac:dyDescent="0.2">
      <c r="A11" s="107" t="s">
        <v>67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 xml:space="preserve">Tāme sastādīta: </v>
      </c>
    </row>
    <row r="12" spans="1:68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68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</v>
      </c>
      <c r="E13" s="418" t="s">
        <v>5</v>
      </c>
      <c r="F13" s="412" t="s">
        <v>6</v>
      </c>
      <c r="G13" s="420" t="s">
        <v>19</v>
      </c>
      <c r="H13" s="404" t="s">
        <v>7</v>
      </c>
      <c r="I13" s="405"/>
      <c r="J13" s="405"/>
      <c r="K13" s="406"/>
      <c r="L13" s="405" t="s">
        <v>8</v>
      </c>
      <c r="M13" s="405"/>
      <c r="N13" s="405"/>
      <c r="O13" s="405"/>
      <c r="P13" s="406"/>
      <c r="Q13" s="403"/>
      <c r="R13" s="403"/>
      <c r="S13" s="403"/>
    </row>
    <row r="14" spans="1:68" ht="34.9" customHeight="1" thickBot="1" x14ac:dyDescent="0.25">
      <c r="A14" s="413"/>
      <c r="B14" s="415"/>
      <c r="C14" s="415"/>
      <c r="D14" s="417"/>
      <c r="E14" s="419"/>
      <c r="F14" s="413"/>
      <c r="G14" s="421"/>
      <c r="H14" s="56" t="s">
        <v>17</v>
      </c>
      <c r="I14" s="60" t="s">
        <v>16</v>
      </c>
      <c r="J14" s="57" t="s">
        <v>15</v>
      </c>
      <c r="K14" s="58" t="s">
        <v>18</v>
      </c>
      <c r="L14" s="58" t="s">
        <v>9</v>
      </c>
      <c r="M14" s="56" t="s">
        <v>17</v>
      </c>
      <c r="N14" s="60" t="s">
        <v>16</v>
      </c>
      <c r="O14" s="57" t="s">
        <v>15</v>
      </c>
      <c r="P14" s="59" t="s">
        <v>14</v>
      </c>
      <c r="Q14" s="196"/>
      <c r="R14" s="196"/>
      <c r="S14" s="196"/>
    </row>
    <row r="15" spans="1:68" x14ac:dyDescent="0.2">
      <c r="A15" s="333"/>
      <c r="B15" s="138"/>
      <c r="C15" s="177" t="str">
        <f>A3</f>
        <v>Kūtsmēslu krātuve</v>
      </c>
      <c r="D15" s="139"/>
      <c r="E15" s="140"/>
      <c r="F15" s="26"/>
      <c r="G15" s="61"/>
      <c r="H15" s="221"/>
      <c r="I15" s="222"/>
      <c r="J15" s="222"/>
      <c r="K15" s="25"/>
      <c r="L15" s="25"/>
      <c r="M15" s="26"/>
      <c r="N15" s="27"/>
      <c r="O15" s="28"/>
      <c r="P15" s="29"/>
    </row>
    <row r="16" spans="1:68" s="220" customFormat="1" x14ac:dyDescent="0.2">
      <c r="A16" s="334"/>
      <c r="B16" s="186"/>
      <c r="C16" s="227" t="s">
        <v>53</v>
      </c>
      <c r="D16" s="134"/>
      <c r="E16" s="228"/>
      <c r="F16" s="26"/>
      <c r="G16" s="61"/>
      <c r="H16" s="221"/>
      <c r="I16" s="222"/>
      <c r="J16" s="222"/>
      <c r="K16" s="25"/>
      <c r="L16" s="25"/>
      <c r="M16" s="26"/>
      <c r="N16" s="27"/>
      <c r="O16" s="28"/>
      <c r="P16" s="29"/>
      <c r="Q16" s="195"/>
      <c r="R16" s="195"/>
      <c r="S16" s="195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</row>
    <row r="17" spans="1:69" s="220" customFormat="1" ht="22.5" x14ac:dyDescent="0.2">
      <c r="A17" s="334" t="s">
        <v>34</v>
      </c>
      <c r="B17" s="182"/>
      <c r="C17" s="231" t="s">
        <v>662</v>
      </c>
      <c r="D17" s="232" t="s">
        <v>43</v>
      </c>
      <c r="E17" s="233">
        <v>1380</v>
      </c>
      <c r="F17" s="26"/>
      <c r="G17" s="61"/>
      <c r="H17" s="221"/>
      <c r="I17" s="222"/>
      <c r="J17" s="222"/>
      <c r="K17" s="25"/>
      <c r="L17" s="25"/>
      <c r="M17" s="26"/>
      <c r="N17" s="27"/>
      <c r="O17" s="28"/>
      <c r="P17" s="29"/>
      <c r="Q17" s="195"/>
      <c r="R17" s="195"/>
      <c r="S17" s="195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</row>
    <row r="18" spans="1:69" s="220" customFormat="1" ht="33.75" x14ac:dyDescent="0.2">
      <c r="A18" s="334" t="s">
        <v>35</v>
      </c>
      <c r="B18" s="182"/>
      <c r="C18" s="231" t="s">
        <v>663</v>
      </c>
      <c r="D18" s="232" t="s">
        <v>42</v>
      </c>
      <c r="E18" s="233">
        <f>ROUND(E17*0.4,1)</f>
        <v>552</v>
      </c>
      <c r="F18" s="26"/>
      <c r="G18" s="61"/>
      <c r="H18" s="221"/>
      <c r="I18" s="222"/>
      <c r="J18" s="222"/>
      <c r="K18" s="25"/>
      <c r="L18" s="25"/>
      <c r="M18" s="26"/>
      <c r="N18" s="27"/>
      <c r="O18" s="28"/>
      <c r="P18" s="29"/>
      <c r="Q18" s="195"/>
      <c r="R18" s="195"/>
      <c r="S18" s="195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</row>
    <row r="19" spans="1:69" s="220" customFormat="1" ht="22.5" x14ac:dyDescent="0.2">
      <c r="A19" s="334" t="s">
        <v>36</v>
      </c>
      <c r="B19" s="186"/>
      <c r="C19" s="231" t="s">
        <v>653</v>
      </c>
      <c r="D19" s="232" t="s">
        <v>42</v>
      </c>
      <c r="E19" s="233">
        <v>1320</v>
      </c>
      <c r="F19" s="26"/>
      <c r="G19" s="61"/>
      <c r="H19" s="221"/>
      <c r="I19" s="222"/>
      <c r="J19" s="222"/>
      <c r="K19" s="25"/>
      <c r="L19" s="25"/>
      <c r="M19" s="26"/>
      <c r="N19" s="27"/>
      <c r="O19" s="28"/>
      <c r="P19" s="29"/>
      <c r="Q19" s="195"/>
      <c r="R19" s="195"/>
      <c r="S19" s="195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</row>
    <row r="20" spans="1:69" s="220" customFormat="1" ht="22.5" x14ac:dyDescent="0.2">
      <c r="A20" s="334" t="s">
        <v>37</v>
      </c>
      <c r="B20" s="182"/>
      <c r="C20" s="231" t="s">
        <v>367</v>
      </c>
      <c r="D20" s="232" t="s">
        <v>42</v>
      </c>
      <c r="E20" s="181">
        <f>ROUND(E19*1%,1)</f>
        <v>13.2</v>
      </c>
      <c r="F20" s="26"/>
      <c r="G20" s="61"/>
      <c r="H20" s="221"/>
      <c r="I20" s="222"/>
      <c r="J20" s="222"/>
      <c r="K20" s="25"/>
      <c r="L20" s="25"/>
      <c r="M20" s="26"/>
      <c r="N20" s="27"/>
      <c r="O20" s="28"/>
      <c r="P20" s="29"/>
      <c r="Q20" s="195"/>
      <c r="R20" s="195"/>
      <c r="S20" s="195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</row>
    <row r="21" spans="1:69" s="220" customFormat="1" ht="33.75" x14ac:dyDescent="0.2">
      <c r="A21" s="334" t="s">
        <v>38</v>
      </c>
      <c r="B21" s="226"/>
      <c r="C21" s="231" t="s">
        <v>374</v>
      </c>
      <c r="D21" s="232" t="s">
        <v>42</v>
      </c>
      <c r="E21" s="233">
        <f>E19-E22</f>
        <v>340</v>
      </c>
      <c r="F21" s="26"/>
      <c r="G21" s="61"/>
      <c r="H21" s="221"/>
      <c r="I21" s="222"/>
      <c r="J21" s="222"/>
      <c r="K21" s="25"/>
      <c r="L21" s="25"/>
      <c r="M21" s="26"/>
      <c r="N21" s="27"/>
      <c r="O21" s="28"/>
      <c r="P21" s="29"/>
      <c r="Q21" s="195"/>
      <c r="R21" s="195"/>
      <c r="S21" s="195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</row>
    <row r="22" spans="1:69" s="220" customFormat="1" ht="33.75" x14ac:dyDescent="0.2">
      <c r="A22" s="334" t="s">
        <v>39</v>
      </c>
      <c r="B22" s="226"/>
      <c r="C22" s="231" t="s">
        <v>664</v>
      </c>
      <c r="D22" s="232" t="s">
        <v>42</v>
      </c>
      <c r="E22" s="233">
        <v>980</v>
      </c>
      <c r="F22" s="26"/>
      <c r="G22" s="61"/>
      <c r="H22" s="221"/>
      <c r="I22" s="222"/>
      <c r="J22" s="222"/>
      <c r="K22" s="25"/>
      <c r="L22" s="25"/>
      <c r="M22" s="26"/>
      <c r="N22" s="27"/>
      <c r="O22" s="28"/>
      <c r="P22" s="29"/>
      <c r="Q22" s="195"/>
      <c r="R22" s="195"/>
      <c r="S22" s="195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</row>
    <row r="23" spans="1:69" s="184" customFormat="1" ht="11.25" x14ac:dyDescent="0.15">
      <c r="A23" s="284"/>
      <c r="B23" s="182"/>
      <c r="C23" s="178" t="s">
        <v>638</v>
      </c>
      <c r="D23" s="180"/>
      <c r="E23" s="183"/>
      <c r="F23" s="26"/>
      <c r="G23" s="61"/>
      <c r="H23" s="26"/>
      <c r="I23" s="27"/>
      <c r="J23" s="27"/>
      <c r="K23" s="25"/>
      <c r="L23" s="25"/>
      <c r="M23" s="26"/>
      <c r="N23" s="27"/>
      <c r="O23" s="28"/>
      <c r="P23" s="29"/>
      <c r="Q23" s="195"/>
      <c r="R23" s="195"/>
      <c r="S23" s="195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</row>
    <row r="24" spans="1:69" s="184" customFormat="1" ht="11.25" x14ac:dyDescent="0.15">
      <c r="A24" s="284">
        <v>7</v>
      </c>
      <c r="B24" s="182"/>
      <c r="C24" s="206" t="s">
        <v>637</v>
      </c>
      <c r="D24" s="180" t="s">
        <v>44</v>
      </c>
      <c r="E24" s="181">
        <v>168.2</v>
      </c>
      <c r="F24" s="26"/>
      <c r="G24" s="61"/>
      <c r="H24" s="26"/>
      <c r="I24" s="27"/>
      <c r="J24" s="27"/>
      <c r="K24" s="25"/>
      <c r="L24" s="25"/>
      <c r="M24" s="26"/>
      <c r="N24" s="27"/>
      <c r="O24" s="28"/>
      <c r="P24" s="29"/>
      <c r="Q24" s="195"/>
      <c r="R24" s="195"/>
      <c r="S24" s="195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</row>
    <row r="25" spans="1:69" s="184" customFormat="1" ht="22.5" x14ac:dyDescent="0.15">
      <c r="A25" s="334"/>
      <c r="B25" s="182"/>
      <c r="C25" s="185" t="s">
        <v>635</v>
      </c>
      <c r="D25" s="180" t="s">
        <v>44</v>
      </c>
      <c r="E25" s="181">
        <f>ROUND(E24*1.15,1)</f>
        <v>193.4</v>
      </c>
      <c r="F25" s="26"/>
      <c r="G25" s="61"/>
      <c r="H25" s="26"/>
      <c r="I25" s="27"/>
      <c r="J25" s="27"/>
      <c r="K25" s="25"/>
      <c r="L25" s="25"/>
      <c r="M25" s="26"/>
      <c r="N25" s="27"/>
      <c r="O25" s="28"/>
      <c r="P25" s="29"/>
      <c r="Q25" s="195"/>
      <c r="R25" s="195"/>
      <c r="S25" s="195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</row>
    <row r="26" spans="1:69" s="184" customFormat="1" ht="22.5" x14ac:dyDescent="0.15">
      <c r="A26" s="284"/>
      <c r="B26" s="186"/>
      <c r="C26" s="187" t="s">
        <v>641</v>
      </c>
      <c r="D26" s="180" t="s">
        <v>44</v>
      </c>
      <c r="E26" s="181">
        <f>E24</f>
        <v>168.2</v>
      </c>
      <c r="F26" s="26"/>
      <c r="G26" s="61"/>
      <c r="H26" s="26"/>
      <c r="I26" s="27"/>
      <c r="J26" s="27"/>
      <c r="K26" s="25"/>
      <c r="L26" s="25"/>
      <c r="M26" s="26"/>
      <c r="N26" s="27"/>
      <c r="O26" s="28"/>
      <c r="P26" s="29"/>
      <c r="Q26" s="195"/>
      <c r="R26" s="195"/>
      <c r="S26" s="195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</row>
    <row r="27" spans="1:69" s="184" customFormat="1" ht="11.25" x14ac:dyDescent="0.15">
      <c r="A27" s="284">
        <v>8</v>
      </c>
      <c r="B27" s="176"/>
      <c r="C27" s="206" t="s">
        <v>637</v>
      </c>
      <c r="D27" s="180" t="s">
        <v>44</v>
      </c>
      <c r="E27" s="183">
        <v>70</v>
      </c>
      <c r="F27" s="26"/>
      <c r="G27" s="61"/>
      <c r="H27" s="26"/>
      <c r="I27" s="27"/>
      <c r="J27" s="27"/>
      <c r="K27" s="25"/>
      <c r="L27" s="25"/>
      <c r="M27" s="26"/>
      <c r="N27" s="27"/>
      <c r="O27" s="28"/>
      <c r="P27" s="29"/>
      <c r="Q27" s="195"/>
      <c r="R27" s="195"/>
      <c r="S27" s="195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</row>
    <row r="28" spans="1:69" s="184" customFormat="1" ht="22.5" x14ac:dyDescent="0.15">
      <c r="A28" s="334"/>
      <c r="B28" s="186"/>
      <c r="C28" s="208" t="s">
        <v>636</v>
      </c>
      <c r="D28" s="180" t="s">
        <v>44</v>
      </c>
      <c r="E28" s="181">
        <f>ROUND(E27*1.15,1)</f>
        <v>80.5</v>
      </c>
      <c r="F28" s="26"/>
      <c r="G28" s="61"/>
      <c r="H28" s="26"/>
      <c r="I28" s="27"/>
      <c r="J28" s="27"/>
      <c r="K28" s="25"/>
      <c r="L28" s="25"/>
      <c r="M28" s="26"/>
      <c r="N28" s="27"/>
      <c r="O28" s="28"/>
      <c r="P28" s="29"/>
      <c r="Q28" s="195"/>
      <c r="R28" s="195"/>
      <c r="S28" s="195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</row>
    <row r="29" spans="1:69" s="184" customFormat="1" ht="22.5" x14ac:dyDescent="0.15">
      <c r="A29" s="334"/>
      <c r="B29" s="186"/>
      <c r="C29" s="187" t="s">
        <v>641</v>
      </c>
      <c r="D29" s="180" t="s">
        <v>44</v>
      </c>
      <c r="E29" s="181">
        <f>E27</f>
        <v>70</v>
      </c>
      <c r="F29" s="26"/>
      <c r="G29" s="61"/>
      <c r="H29" s="26"/>
      <c r="I29" s="27"/>
      <c r="J29" s="27"/>
      <c r="K29" s="25"/>
      <c r="L29" s="25"/>
      <c r="M29" s="26"/>
      <c r="N29" s="27"/>
      <c r="O29" s="28"/>
      <c r="P29" s="29"/>
      <c r="Q29" s="195"/>
      <c r="R29" s="195"/>
      <c r="S29" s="195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</row>
    <row r="30" spans="1:69" s="184" customFormat="1" ht="11.25" x14ac:dyDescent="0.15">
      <c r="A30" s="284"/>
      <c r="B30" s="182"/>
      <c r="C30" s="178" t="s">
        <v>651</v>
      </c>
      <c r="D30" s="180"/>
      <c r="E30" s="183"/>
      <c r="F30" s="26"/>
      <c r="G30" s="61"/>
      <c r="H30" s="26"/>
      <c r="I30" s="27"/>
      <c r="J30" s="27"/>
      <c r="K30" s="25"/>
      <c r="L30" s="25"/>
      <c r="M30" s="26"/>
      <c r="N30" s="27"/>
      <c r="O30" s="28"/>
      <c r="P30" s="29"/>
      <c r="Q30" s="195"/>
      <c r="R30" s="195"/>
      <c r="S30" s="195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</row>
    <row r="31" spans="1:69" s="184" customFormat="1" ht="22.5" x14ac:dyDescent="0.15">
      <c r="A31" s="334" t="s">
        <v>316</v>
      </c>
      <c r="B31" s="182"/>
      <c r="C31" s="179" t="s">
        <v>652</v>
      </c>
      <c r="D31" s="180" t="s">
        <v>43</v>
      </c>
      <c r="E31" s="181">
        <f>E32</f>
        <v>1013.1</v>
      </c>
      <c r="F31" s="26"/>
      <c r="G31" s="61"/>
      <c r="H31" s="26"/>
      <c r="I31" s="27"/>
      <c r="J31" s="27"/>
      <c r="K31" s="25"/>
      <c r="L31" s="25"/>
      <c r="M31" s="26"/>
      <c r="N31" s="27"/>
      <c r="O31" s="28"/>
      <c r="P31" s="29"/>
      <c r="Q31" s="195"/>
      <c r="R31" s="195"/>
      <c r="S31" s="195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</row>
    <row r="32" spans="1:69" s="184" customFormat="1" ht="33.75" x14ac:dyDescent="0.15">
      <c r="A32" s="334" t="s">
        <v>554</v>
      </c>
      <c r="B32" s="186"/>
      <c r="C32" s="206" t="s">
        <v>666</v>
      </c>
      <c r="D32" s="180" t="s">
        <v>43</v>
      </c>
      <c r="E32" s="181">
        <v>1013.1</v>
      </c>
      <c r="F32" s="26"/>
      <c r="G32" s="61"/>
      <c r="H32" s="26"/>
      <c r="I32" s="27"/>
      <c r="J32" s="27"/>
      <c r="K32" s="25"/>
      <c r="L32" s="25"/>
      <c r="M32" s="26"/>
      <c r="N32" s="27"/>
      <c r="O32" s="28"/>
      <c r="P32" s="29"/>
      <c r="Q32" s="195"/>
      <c r="R32" s="195"/>
      <c r="S32" s="195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</row>
    <row r="33" spans="1:69" s="184" customFormat="1" ht="11.25" x14ac:dyDescent="0.15">
      <c r="A33" s="334"/>
      <c r="B33" s="186"/>
      <c r="C33" s="185" t="s">
        <v>665</v>
      </c>
      <c r="D33" s="180" t="s">
        <v>43</v>
      </c>
      <c r="E33" s="181">
        <f>ROUND(E32*1.15,1)</f>
        <v>1165.0999999999999</v>
      </c>
      <c r="F33" s="26"/>
      <c r="G33" s="61"/>
      <c r="H33" s="26"/>
      <c r="I33" s="27"/>
      <c r="J33" s="27"/>
      <c r="K33" s="25"/>
      <c r="L33" s="25"/>
      <c r="M33" s="26"/>
      <c r="N33" s="27"/>
      <c r="O33" s="28"/>
      <c r="P33" s="29"/>
      <c r="Q33" s="195"/>
      <c r="R33" s="195"/>
      <c r="S33" s="195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</row>
    <row r="34" spans="1:69" s="184" customFormat="1" ht="22.5" x14ac:dyDescent="0.15">
      <c r="A34" s="334"/>
      <c r="B34" s="186"/>
      <c r="C34" s="187" t="s">
        <v>640</v>
      </c>
      <c r="D34" s="180" t="s">
        <v>43</v>
      </c>
      <c r="E34" s="181">
        <f>E32</f>
        <v>1013.1</v>
      </c>
      <c r="F34" s="26"/>
      <c r="G34" s="61"/>
      <c r="H34" s="26"/>
      <c r="I34" s="27"/>
      <c r="J34" s="27"/>
      <c r="K34" s="25"/>
      <c r="L34" s="25"/>
      <c r="M34" s="26"/>
      <c r="N34" s="27"/>
      <c r="O34" s="28"/>
      <c r="P34" s="29"/>
      <c r="Q34" s="195"/>
      <c r="R34" s="195"/>
      <c r="S34" s="195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</row>
    <row r="35" spans="1:69" s="184" customFormat="1" ht="22.5" x14ac:dyDescent="0.15">
      <c r="A35" s="334" t="s">
        <v>555</v>
      </c>
      <c r="B35" s="182"/>
      <c r="C35" s="179" t="s">
        <v>639</v>
      </c>
      <c r="D35" s="180" t="s">
        <v>42</v>
      </c>
      <c r="E35" s="183">
        <v>25.7</v>
      </c>
      <c r="F35" s="26"/>
      <c r="G35" s="61"/>
      <c r="H35" s="26"/>
      <c r="I35" s="27"/>
      <c r="J35" s="27"/>
      <c r="K35" s="25"/>
      <c r="L35" s="25"/>
      <c r="M35" s="26"/>
      <c r="N35" s="27"/>
      <c r="O35" s="28"/>
      <c r="P35" s="29"/>
      <c r="Q35" s="195"/>
      <c r="R35" s="195"/>
      <c r="S35" s="195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</row>
    <row r="36" spans="1:69" s="184" customFormat="1" ht="11.25" x14ac:dyDescent="0.15">
      <c r="A36" s="334"/>
      <c r="B36" s="176"/>
      <c r="C36" s="185" t="s">
        <v>267</v>
      </c>
      <c r="D36" s="180" t="s">
        <v>42</v>
      </c>
      <c r="E36" s="183">
        <f>ROUND(E35*1.2,2)</f>
        <v>30.84</v>
      </c>
      <c r="F36" s="26"/>
      <c r="G36" s="61"/>
      <c r="H36" s="26"/>
      <c r="I36" s="27"/>
      <c r="J36" s="27"/>
      <c r="K36" s="25"/>
      <c r="L36" s="25"/>
      <c r="M36" s="26"/>
      <c r="N36" s="27"/>
      <c r="O36" s="28"/>
      <c r="P36" s="29"/>
      <c r="Q36" s="195"/>
      <c r="R36" s="195"/>
      <c r="S36" s="195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</row>
    <row r="37" spans="1:69" x14ac:dyDescent="0.2">
      <c r="A37" s="336"/>
      <c r="B37" s="133"/>
      <c r="C37" s="204" t="s">
        <v>642</v>
      </c>
      <c r="D37" s="324"/>
      <c r="E37" s="325"/>
      <c r="F37" s="119"/>
      <c r="G37" s="61"/>
      <c r="H37" s="26"/>
      <c r="I37" s="27"/>
      <c r="J37" s="27"/>
      <c r="K37" s="25"/>
      <c r="L37" s="25"/>
      <c r="M37" s="26"/>
      <c r="N37" s="27"/>
      <c r="O37" s="28"/>
      <c r="P37" s="29"/>
    </row>
    <row r="38" spans="1:69" ht="22.5" x14ac:dyDescent="0.2">
      <c r="A38" s="337">
        <v>12</v>
      </c>
      <c r="B38" s="133"/>
      <c r="C38" s="179" t="s">
        <v>644</v>
      </c>
      <c r="D38" s="180" t="s">
        <v>43</v>
      </c>
      <c r="E38" s="181">
        <v>1.35</v>
      </c>
      <c r="F38" s="119"/>
      <c r="G38" s="61"/>
      <c r="H38" s="26"/>
      <c r="I38" s="27"/>
      <c r="J38" s="27"/>
      <c r="K38" s="25"/>
      <c r="L38" s="25"/>
      <c r="M38" s="26"/>
      <c r="N38" s="27"/>
      <c r="O38" s="28"/>
      <c r="P38" s="29"/>
      <c r="T38" s="102"/>
      <c r="U38" s="102"/>
      <c r="V38" s="102"/>
    </row>
    <row r="39" spans="1:69" s="184" customFormat="1" ht="22.5" x14ac:dyDescent="0.15">
      <c r="A39" s="284">
        <v>13</v>
      </c>
      <c r="B39" s="182"/>
      <c r="C39" s="179" t="s">
        <v>643</v>
      </c>
      <c r="D39" s="180" t="s">
        <v>42</v>
      </c>
      <c r="E39" s="183">
        <f>ROUND(E38*0.15,2)</f>
        <v>0.2</v>
      </c>
      <c r="F39" s="26"/>
      <c r="G39" s="61"/>
      <c r="H39" s="26"/>
      <c r="I39" s="27"/>
      <c r="J39" s="27"/>
      <c r="K39" s="25"/>
      <c r="L39" s="25"/>
      <c r="M39" s="26"/>
      <c r="N39" s="27"/>
      <c r="O39" s="28"/>
      <c r="P39" s="29"/>
      <c r="Q39" s="195"/>
      <c r="R39" s="195"/>
      <c r="S39" s="195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</row>
    <row r="40" spans="1:69" s="184" customFormat="1" ht="11.25" x14ac:dyDescent="0.15">
      <c r="A40" s="334"/>
      <c r="B40" s="176"/>
      <c r="C40" s="185" t="s">
        <v>267</v>
      </c>
      <c r="D40" s="180" t="s">
        <v>42</v>
      </c>
      <c r="E40" s="183">
        <f>ROUND(E39*1.2,2)</f>
        <v>0.24</v>
      </c>
      <c r="F40" s="26"/>
      <c r="G40" s="61"/>
      <c r="H40" s="26"/>
      <c r="I40" s="27"/>
      <c r="J40" s="27"/>
      <c r="K40" s="25"/>
      <c r="L40" s="25"/>
      <c r="M40" s="26"/>
      <c r="N40" s="27"/>
      <c r="O40" s="28"/>
      <c r="P40" s="29"/>
      <c r="Q40" s="195"/>
      <c r="R40" s="195"/>
      <c r="S40" s="195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</row>
    <row r="41" spans="1:69" s="184" customFormat="1" ht="11.25" x14ac:dyDescent="0.15">
      <c r="A41" s="284">
        <v>14</v>
      </c>
      <c r="B41" s="182"/>
      <c r="C41" s="206" t="s">
        <v>650</v>
      </c>
      <c r="D41" s="180" t="s">
        <v>48</v>
      </c>
      <c r="E41" s="181">
        <v>1</v>
      </c>
      <c r="F41" s="26"/>
      <c r="G41" s="61"/>
      <c r="H41" s="26"/>
      <c r="I41" s="27"/>
      <c r="J41" s="27"/>
      <c r="K41" s="25"/>
      <c r="L41" s="25"/>
      <c r="M41" s="26"/>
      <c r="N41" s="27"/>
      <c r="O41" s="28"/>
      <c r="P41" s="29"/>
      <c r="Q41" s="195"/>
      <c r="R41" s="195"/>
      <c r="S41" s="195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</row>
    <row r="42" spans="1:69" s="184" customFormat="1" ht="22.5" x14ac:dyDescent="0.15">
      <c r="A42" s="334"/>
      <c r="B42" s="182"/>
      <c r="C42" s="185" t="s">
        <v>645</v>
      </c>
      <c r="D42" s="180" t="s">
        <v>45</v>
      </c>
      <c r="E42" s="181">
        <v>3</v>
      </c>
      <c r="F42" s="26"/>
      <c r="G42" s="61"/>
      <c r="H42" s="26"/>
      <c r="I42" s="27"/>
      <c r="J42" s="27"/>
      <c r="K42" s="25"/>
      <c r="L42" s="25"/>
      <c r="M42" s="26"/>
      <c r="N42" s="27"/>
      <c r="O42" s="28"/>
      <c r="P42" s="29"/>
      <c r="Q42" s="195"/>
      <c r="R42" s="195"/>
      <c r="S42" s="195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</row>
    <row r="43" spans="1:69" s="184" customFormat="1" ht="22.5" x14ac:dyDescent="0.15">
      <c r="A43" s="334"/>
      <c r="B43" s="182"/>
      <c r="C43" s="185" t="s">
        <v>646</v>
      </c>
      <c r="D43" s="180" t="s">
        <v>45</v>
      </c>
      <c r="E43" s="181">
        <v>1</v>
      </c>
      <c r="F43" s="26"/>
      <c r="G43" s="61"/>
      <c r="H43" s="26"/>
      <c r="I43" s="27"/>
      <c r="J43" s="27"/>
      <c r="K43" s="25"/>
      <c r="L43" s="25"/>
      <c r="M43" s="26"/>
      <c r="N43" s="27"/>
      <c r="O43" s="28"/>
      <c r="P43" s="29"/>
      <c r="Q43" s="195"/>
      <c r="R43" s="195"/>
      <c r="S43" s="195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</row>
    <row r="44" spans="1:69" s="184" customFormat="1" ht="11.25" x14ac:dyDescent="0.15">
      <c r="A44" s="334"/>
      <c r="B44" s="182"/>
      <c r="C44" s="185" t="s">
        <v>647</v>
      </c>
      <c r="D44" s="180" t="s">
        <v>45</v>
      </c>
      <c r="E44" s="181">
        <v>1</v>
      </c>
      <c r="F44" s="26"/>
      <c r="G44" s="61"/>
      <c r="H44" s="26"/>
      <c r="I44" s="27"/>
      <c r="J44" s="27"/>
      <c r="K44" s="25"/>
      <c r="L44" s="25"/>
      <c r="M44" s="26"/>
      <c r="N44" s="27"/>
      <c r="O44" s="28"/>
      <c r="P44" s="29"/>
      <c r="Q44" s="195"/>
      <c r="R44" s="195"/>
      <c r="S44" s="195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2"/>
      <c r="BQ44" s="102"/>
    </row>
    <row r="45" spans="1:69" s="184" customFormat="1" ht="11.25" x14ac:dyDescent="0.15">
      <c r="A45" s="334"/>
      <c r="B45" s="182"/>
      <c r="C45" s="185" t="s">
        <v>648</v>
      </c>
      <c r="D45" s="180" t="s">
        <v>45</v>
      </c>
      <c r="E45" s="181">
        <v>1</v>
      </c>
      <c r="F45" s="26"/>
      <c r="G45" s="61"/>
      <c r="H45" s="26"/>
      <c r="I45" s="27"/>
      <c r="J45" s="27"/>
      <c r="K45" s="25"/>
      <c r="L45" s="25"/>
      <c r="M45" s="26"/>
      <c r="N45" s="27"/>
      <c r="O45" s="28"/>
      <c r="P45" s="29"/>
      <c r="Q45" s="195"/>
      <c r="R45" s="195"/>
      <c r="S45" s="195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</row>
    <row r="46" spans="1:69" s="184" customFormat="1" ht="11.25" x14ac:dyDescent="0.15">
      <c r="A46" s="334"/>
      <c r="B46" s="182"/>
      <c r="C46" s="185" t="s">
        <v>649</v>
      </c>
      <c r="D46" s="180" t="s">
        <v>48</v>
      </c>
      <c r="E46" s="181">
        <v>1</v>
      </c>
      <c r="F46" s="26"/>
      <c r="G46" s="61"/>
      <c r="H46" s="26"/>
      <c r="I46" s="27"/>
      <c r="J46" s="27"/>
      <c r="K46" s="25"/>
      <c r="L46" s="25"/>
      <c r="M46" s="26"/>
      <c r="N46" s="27"/>
      <c r="O46" s="28"/>
      <c r="P46" s="29"/>
      <c r="Q46" s="195"/>
      <c r="R46" s="195"/>
      <c r="S46" s="195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  <c r="BO46" s="102"/>
      <c r="BP46" s="102"/>
      <c r="BQ46" s="102"/>
    </row>
    <row r="47" spans="1:69" s="184" customFormat="1" ht="11.25" x14ac:dyDescent="0.15">
      <c r="A47" s="284"/>
      <c r="B47" s="182"/>
      <c r="C47" s="178" t="s">
        <v>628</v>
      </c>
      <c r="D47" s="180"/>
      <c r="E47" s="183"/>
      <c r="F47" s="26"/>
      <c r="G47" s="61"/>
      <c r="H47" s="26"/>
      <c r="I47" s="27"/>
      <c r="J47" s="27"/>
      <c r="K47" s="25"/>
      <c r="L47" s="25"/>
      <c r="M47" s="26"/>
      <c r="N47" s="27"/>
      <c r="O47" s="28"/>
      <c r="P47" s="29"/>
      <c r="Q47" s="195"/>
      <c r="R47" s="195"/>
      <c r="S47" s="195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</row>
    <row r="48" spans="1:69" s="184" customFormat="1" ht="11.25" x14ac:dyDescent="0.15">
      <c r="A48" s="334" t="s">
        <v>559</v>
      </c>
      <c r="B48" s="182"/>
      <c r="C48" s="238" t="s">
        <v>628</v>
      </c>
      <c r="D48" s="326" t="s">
        <v>44</v>
      </c>
      <c r="E48" s="327">
        <v>114</v>
      </c>
      <c r="F48" s="26"/>
      <c r="G48" s="61"/>
      <c r="H48" s="26"/>
      <c r="I48" s="27"/>
      <c r="J48" s="27"/>
      <c r="K48" s="25"/>
      <c r="L48" s="25"/>
      <c r="M48" s="26"/>
      <c r="N48" s="27"/>
      <c r="O48" s="28"/>
      <c r="P48" s="29"/>
      <c r="Q48" s="195"/>
      <c r="R48" s="195"/>
      <c r="S48" s="195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</row>
    <row r="49" spans="1:69" s="184" customFormat="1" ht="22.5" x14ac:dyDescent="0.15">
      <c r="A49" s="284"/>
      <c r="B49" s="182"/>
      <c r="C49" s="239" t="s">
        <v>632</v>
      </c>
      <c r="D49" s="209" t="s">
        <v>45</v>
      </c>
      <c r="E49" s="328">
        <v>56</v>
      </c>
      <c r="F49" s="26"/>
      <c r="G49" s="61"/>
      <c r="H49" s="26"/>
      <c r="I49" s="27"/>
      <c r="J49" s="27"/>
      <c r="K49" s="25"/>
      <c r="L49" s="25"/>
      <c r="M49" s="26"/>
      <c r="N49" s="27"/>
      <c r="O49" s="28"/>
      <c r="P49" s="29"/>
      <c r="Q49" s="195"/>
      <c r="R49" s="195"/>
      <c r="S49" s="195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69" s="184" customFormat="1" ht="11.25" x14ac:dyDescent="0.15">
      <c r="A50" s="284"/>
      <c r="B50" s="182"/>
      <c r="C50" s="239" t="s">
        <v>631</v>
      </c>
      <c r="D50" s="209" t="s">
        <v>45</v>
      </c>
      <c r="E50" s="328">
        <v>10</v>
      </c>
      <c r="F50" s="26"/>
      <c r="G50" s="61"/>
      <c r="H50" s="26"/>
      <c r="I50" s="27"/>
      <c r="J50" s="27"/>
      <c r="K50" s="25"/>
      <c r="L50" s="25"/>
      <c r="M50" s="26"/>
      <c r="N50" s="27"/>
      <c r="O50" s="28"/>
      <c r="P50" s="29"/>
      <c r="Q50" s="195"/>
      <c r="R50" s="195"/>
      <c r="S50" s="195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</row>
    <row r="51" spans="1:69" s="184" customFormat="1" ht="22.5" x14ac:dyDescent="0.15">
      <c r="A51" s="334"/>
      <c r="B51" s="176"/>
      <c r="C51" s="239" t="s">
        <v>633</v>
      </c>
      <c r="D51" s="209" t="s">
        <v>45</v>
      </c>
      <c r="E51" s="328">
        <f>ROUND(E48/2.5,0)</f>
        <v>46</v>
      </c>
      <c r="F51" s="26"/>
      <c r="G51" s="61"/>
      <c r="H51" s="26"/>
      <c r="I51" s="27"/>
      <c r="J51" s="27"/>
      <c r="K51" s="25"/>
      <c r="L51" s="25"/>
      <c r="M51" s="26"/>
      <c r="N51" s="27"/>
      <c r="O51" s="28"/>
      <c r="P51" s="29"/>
      <c r="Q51" s="195"/>
      <c r="R51" s="195"/>
      <c r="S51" s="195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</row>
    <row r="52" spans="1:69" s="184" customFormat="1" ht="11.25" x14ac:dyDescent="0.15">
      <c r="A52" s="284"/>
      <c r="B52" s="182"/>
      <c r="C52" s="239" t="s">
        <v>629</v>
      </c>
      <c r="D52" s="209" t="s">
        <v>45</v>
      </c>
      <c r="E52" s="328">
        <f>E49*4</f>
        <v>224</v>
      </c>
      <c r="F52" s="26"/>
      <c r="G52" s="61"/>
      <c r="H52" s="26"/>
      <c r="I52" s="27"/>
      <c r="J52" s="27"/>
      <c r="K52" s="25"/>
      <c r="L52" s="25"/>
      <c r="M52" s="26"/>
      <c r="N52" s="27"/>
      <c r="O52" s="28"/>
      <c r="P52" s="29"/>
      <c r="Q52" s="195"/>
      <c r="R52" s="195"/>
      <c r="S52" s="195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</row>
    <row r="53" spans="1:69" s="184" customFormat="1" ht="11.25" x14ac:dyDescent="0.15">
      <c r="A53" s="334"/>
      <c r="B53" s="182"/>
      <c r="C53" s="239" t="s">
        <v>634</v>
      </c>
      <c r="D53" s="209" t="s">
        <v>44</v>
      </c>
      <c r="E53" s="328">
        <f>E48</f>
        <v>114</v>
      </c>
      <c r="F53" s="26"/>
      <c r="G53" s="61"/>
      <c r="H53" s="26"/>
      <c r="I53" s="27"/>
      <c r="J53" s="27"/>
      <c r="K53" s="25"/>
      <c r="L53" s="25"/>
      <c r="M53" s="26"/>
      <c r="N53" s="27"/>
      <c r="O53" s="28"/>
      <c r="P53" s="29"/>
      <c r="Q53" s="195"/>
      <c r="R53" s="195"/>
      <c r="S53" s="195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  <c r="BP53" s="102"/>
      <c r="BQ53" s="102"/>
    </row>
    <row r="54" spans="1:69" s="184" customFormat="1" ht="11.25" x14ac:dyDescent="0.15">
      <c r="A54" s="284"/>
      <c r="B54" s="186"/>
      <c r="C54" s="178" t="s">
        <v>388</v>
      </c>
      <c r="D54" s="180"/>
      <c r="E54" s="261"/>
      <c r="F54" s="26"/>
      <c r="G54" s="61"/>
      <c r="H54" s="26"/>
      <c r="I54" s="27"/>
      <c r="J54" s="27"/>
      <c r="K54" s="25"/>
      <c r="L54" s="25"/>
      <c r="M54" s="26"/>
      <c r="N54" s="27"/>
      <c r="O54" s="28"/>
      <c r="P54" s="29"/>
      <c r="Q54" s="195"/>
      <c r="R54" s="195"/>
      <c r="S54" s="195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2"/>
      <c r="BQ54" s="102"/>
    </row>
    <row r="55" spans="1:69" s="184" customFormat="1" ht="11.25" x14ac:dyDescent="0.15">
      <c r="A55" s="284">
        <v>16</v>
      </c>
      <c r="B55" s="176"/>
      <c r="C55" s="238" t="s">
        <v>630</v>
      </c>
      <c r="D55" s="209"/>
      <c r="E55" s="286"/>
      <c r="F55" s="26"/>
      <c r="G55" s="61"/>
      <c r="H55" s="26"/>
      <c r="I55" s="27"/>
      <c r="J55" s="27"/>
      <c r="K55" s="25"/>
      <c r="L55" s="25"/>
      <c r="M55" s="26"/>
      <c r="N55" s="27"/>
      <c r="O55" s="28"/>
      <c r="P55" s="29"/>
      <c r="Q55" s="195"/>
      <c r="R55" s="195"/>
      <c r="S55" s="195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</row>
    <row r="56" spans="1:69" s="184" customFormat="1" ht="23.25" thickBot="1" x14ac:dyDescent="0.2">
      <c r="A56" s="334"/>
      <c r="B56" s="186"/>
      <c r="C56" s="239" t="s">
        <v>667</v>
      </c>
      <c r="D56" s="209" t="s">
        <v>45</v>
      </c>
      <c r="E56" s="286">
        <v>1</v>
      </c>
      <c r="F56" s="26"/>
      <c r="G56" s="61"/>
      <c r="H56" s="26"/>
      <c r="I56" s="27"/>
      <c r="J56" s="27"/>
      <c r="K56" s="25"/>
      <c r="L56" s="25"/>
      <c r="M56" s="26"/>
      <c r="N56" s="27"/>
      <c r="O56" s="28"/>
      <c r="P56" s="29"/>
      <c r="Q56" s="195"/>
      <c r="R56" s="195"/>
      <c r="S56" s="195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</row>
    <row r="57" spans="1:69" ht="15" customHeight="1" thickBo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2" t="s">
        <v>130</v>
      </c>
      <c r="L57" s="33">
        <f>ROUND(SUM(L15:L56),2)</f>
        <v>0</v>
      </c>
      <c r="M57" s="33">
        <f>ROUND(SUM(M15:M56),2)</f>
        <v>0</v>
      </c>
      <c r="N57" s="34">
        <f>ROUND(SUM(N15:N56),2)</f>
        <v>0</v>
      </c>
      <c r="O57" s="35">
        <f>ROUND(SUM(O15:O56),2)</f>
        <v>0</v>
      </c>
      <c r="P57" s="36">
        <f>ROUND(SUM(P15:P56),2)</f>
        <v>0</v>
      </c>
    </row>
    <row r="58" spans="1:69" ht="34.9" customHeight="1" x14ac:dyDescent="0.2">
      <c r="A58" s="37"/>
      <c r="B58" s="7"/>
      <c r="C58" s="38"/>
      <c r="D58" s="39"/>
      <c r="E58" s="5"/>
      <c r="F58" s="5"/>
      <c r="G58" s="5"/>
      <c r="H58" s="7"/>
      <c r="I58" s="7"/>
      <c r="J58" s="7"/>
      <c r="K58" s="7"/>
      <c r="L58" s="7"/>
      <c r="M58" s="7"/>
      <c r="N58" s="7"/>
      <c r="O58" s="7"/>
      <c r="P58" s="7"/>
    </row>
    <row r="59" spans="1:69" x14ac:dyDescent="0.2">
      <c r="A59" s="40"/>
      <c r="B59" s="41"/>
      <c r="C59" s="41" t="s">
        <v>10</v>
      </c>
      <c r="D59" s="42"/>
      <c r="E59" s="43"/>
      <c r="F59" s="44"/>
      <c r="G59" s="42"/>
      <c r="H59" s="45">
        <f>Kopsavilkums!C$43</f>
        <v>0</v>
      </c>
      <c r="I59" s="46" t="str">
        <f>Kopsavilkums!D$43</f>
        <v>datums</v>
      </c>
      <c r="J59" s="46"/>
      <c r="K59" s="41" t="s">
        <v>11</v>
      </c>
      <c r="L59" s="47"/>
      <c r="M59" s="44"/>
      <c r="N59" s="44"/>
      <c r="O59" s="45">
        <f>Kopsavilkums!C$48</f>
        <v>0</v>
      </c>
      <c r="P59" s="46" t="str">
        <f>Kopsavilkums!D$48</f>
        <v>datums</v>
      </c>
    </row>
    <row r="60" spans="1:69" x14ac:dyDescent="0.2">
      <c r="A60" s="48"/>
      <c r="B60" s="49"/>
      <c r="C60" s="50"/>
      <c r="D60" s="407" t="s">
        <v>12</v>
      </c>
      <c r="E60" s="407"/>
      <c r="F60" s="407"/>
      <c r="G60" s="407"/>
      <c r="H60" s="407"/>
      <c r="I60" s="7"/>
      <c r="J60" s="7"/>
      <c r="K60" s="7"/>
      <c r="L60" s="407" t="s">
        <v>12</v>
      </c>
      <c r="M60" s="407"/>
      <c r="N60" s="407"/>
      <c r="O60" s="407"/>
      <c r="P60" s="7"/>
    </row>
    <row r="61" spans="1:69" s="54" customFormat="1" x14ac:dyDescent="0.2">
      <c r="A61" s="37"/>
      <c r="B61" s="7"/>
      <c r="C61" s="38"/>
      <c r="D61" s="5"/>
      <c r="E61" s="5"/>
      <c r="F61" s="5"/>
      <c r="G61" s="5"/>
      <c r="H61" s="7"/>
      <c r="I61" s="7"/>
      <c r="J61" s="7"/>
      <c r="K61" s="7"/>
      <c r="L61" s="7"/>
      <c r="M61" s="7"/>
      <c r="N61" s="7"/>
      <c r="O61" s="7"/>
      <c r="P61" s="7"/>
      <c r="Q61" s="195"/>
      <c r="R61" s="195"/>
      <c r="S61" s="195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BO61" s="4"/>
      <c r="BP61" s="4"/>
      <c r="BQ61" s="4"/>
    </row>
    <row r="62" spans="1:69" s="54" customFormat="1" x14ac:dyDescent="0.2">
      <c r="A62" s="51"/>
      <c r="B62" s="46"/>
      <c r="C62" s="52"/>
      <c r="D62" s="52" t="str">
        <f>Kopsavilkums!B$46</f>
        <v>-</v>
      </c>
      <c r="E62" s="5"/>
      <c r="F62" s="5"/>
      <c r="G62" s="5"/>
      <c r="H62" s="7"/>
      <c r="I62" s="7"/>
      <c r="J62" s="7"/>
      <c r="K62" s="7"/>
      <c r="L62" s="52" t="str">
        <f>Kopsavilkums!B$51</f>
        <v>Sert.Nr.</v>
      </c>
      <c r="M62" s="53"/>
      <c r="N62" s="7"/>
      <c r="O62" s="7"/>
      <c r="P62" s="7"/>
      <c r="Q62" s="195"/>
      <c r="R62" s="195"/>
      <c r="S62" s="195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BO62" s="4"/>
      <c r="BP62" s="4"/>
      <c r="BQ62" s="4"/>
    </row>
    <row r="63" spans="1:69" s="54" customFormat="1" x14ac:dyDescent="0.25">
      <c r="Q63" s="195"/>
      <c r="R63" s="195"/>
      <c r="S63" s="195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</row>
    <row r="64" spans="1:69" s="54" customFormat="1" x14ac:dyDescent="0.25">
      <c r="Q64" s="195"/>
      <c r="R64" s="195"/>
      <c r="S64" s="195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</row>
    <row r="65" spans="17:45" s="54" customFormat="1" x14ac:dyDescent="0.25">
      <c r="Q65" s="195"/>
      <c r="R65" s="195"/>
      <c r="S65" s="195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</row>
    <row r="66" spans="17:45" s="54" customFormat="1" x14ac:dyDescent="0.25">
      <c r="Q66" s="195"/>
      <c r="R66" s="195"/>
      <c r="S66" s="195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</row>
    <row r="67" spans="17:45" s="54" customFormat="1" x14ac:dyDescent="0.25">
      <c r="Q67" s="195"/>
      <c r="R67" s="195"/>
      <c r="S67" s="195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</row>
    <row r="68" spans="17:45" s="54" customFormat="1" x14ac:dyDescent="0.25">
      <c r="Q68" s="195"/>
      <c r="R68" s="195"/>
      <c r="S68" s="195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</row>
    <row r="69" spans="17:45" s="54" customFormat="1" x14ac:dyDescent="0.25">
      <c r="Q69" s="195"/>
      <c r="R69" s="195"/>
      <c r="S69" s="195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</row>
    <row r="70" spans="17:45" s="54" customFormat="1" x14ac:dyDescent="0.25">
      <c r="Q70" s="195"/>
      <c r="R70" s="195"/>
      <c r="S70" s="195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</row>
    <row r="71" spans="17:45" s="54" customFormat="1" x14ac:dyDescent="0.25">
      <c r="Q71" s="195"/>
      <c r="R71" s="195"/>
      <c r="S71" s="195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</row>
    <row r="72" spans="17:45" s="54" customFormat="1" x14ac:dyDescent="0.25">
      <c r="Q72" s="195"/>
      <c r="R72" s="195"/>
      <c r="S72" s="195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</row>
    <row r="73" spans="17:45" s="54" customFormat="1" x14ac:dyDescent="0.25">
      <c r="Q73" s="195"/>
      <c r="R73" s="195"/>
      <c r="S73" s="195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</row>
    <row r="74" spans="17:45" s="54" customFormat="1" x14ac:dyDescent="0.25">
      <c r="Q74" s="195"/>
      <c r="R74" s="195"/>
      <c r="S74" s="195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</row>
    <row r="75" spans="17:45" s="54" customFormat="1" x14ac:dyDescent="0.25">
      <c r="Q75" s="195"/>
      <c r="R75" s="195"/>
      <c r="S75" s="195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</row>
    <row r="76" spans="17:45" s="54" customFormat="1" x14ac:dyDescent="0.25">
      <c r="Q76" s="195"/>
      <c r="R76" s="195"/>
      <c r="S76" s="195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</row>
    <row r="77" spans="17:45" s="54" customFormat="1" x14ac:dyDescent="0.25">
      <c r="Q77" s="195"/>
      <c r="R77" s="195"/>
      <c r="S77" s="195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</row>
    <row r="78" spans="17:45" s="54" customFormat="1" x14ac:dyDescent="0.25">
      <c r="Q78" s="195"/>
      <c r="R78" s="195"/>
      <c r="S78" s="195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</row>
    <row r="79" spans="17:45" s="54" customFormat="1" x14ac:dyDescent="0.25">
      <c r="Q79" s="195"/>
      <c r="R79" s="195"/>
      <c r="S79" s="195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</row>
    <row r="80" spans="17:45" s="54" customFormat="1" x14ac:dyDescent="0.25">
      <c r="Q80" s="195"/>
      <c r="R80" s="195"/>
      <c r="S80" s="195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</row>
    <row r="81" spans="17:45" s="54" customFormat="1" x14ac:dyDescent="0.25">
      <c r="Q81" s="195"/>
      <c r="R81" s="195"/>
      <c r="S81" s="195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</row>
    <row r="82" spans="17:45" s="54" customFormat="1" x14ac:dyDescent="0.25">
      <c r="Q82" s="195"/>
      <c r="R82" s="195"/>
      <c r="S82" s="195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</row>
    <row r="83" spans="17:45" s="54" customFormat="1" x14ac:dyDescent="0.25">
      <c r="Q83" s="195"/>
      <c r="R83" s="195"/>
      <c r="S83" s="195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</row>
    <row r="84" spans="17:45" s="54" customFormat="1" x14ac:dyDescent="0.25">
      <c r="Q84" s="195"/>
      <c r="R84" s="195"/>
      <c r="S84" s="195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</row>
    <row r="85" spans="17:45" s="54" customFormat="1" x14ac:dyDescent="0.25">
      <c r="Q85" s="195"/>
      <c r="R85" s="195"/>
      <c r="S85" s="195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</row>
    <row r="86" spans="17:45" s="54" customFormat="1" x14ac:dyDescent="0.25">
      <c r="Q86" s="195"/>
      <c r="R86" s="195"/>
      <c r="S86" s="195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</row>
    <row r="87" spans="17:45" s="54" customFormat="1" x14ac:dyDescent="0.25">
      <c r="Q87" s="195"/>
      <c r="R87" s="195"/>
      <c r="S87" s="195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</row>
    <row r="88" spans="17:45" s="54" customFormat="1" x14ac:dyDescent="0.25">
      <c r="Q88" s="195"/>
      <c r="R88" s="195"/>
      <c r="S88" s="195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</row>
    <row r="89" spans="17:45" s="54" customFormat="1" x14ac:dyDescent="0.25">
      <c r="Q89" s="195"/>
      <c r="R89" s="195"/>
      <c r="S89" s="195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</row>
    <row r="90" spans="17:45" s="54" customFormat="1" x14ac:dyDescent="0.25">
      <c r="Q90" s="195"/>
      <c r="R90" s="195"/>
      <c r="S90" s="195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</row>
    <row r="91" spans="17:45" s="54" customFormat="1" x14ac:dyDescent="0.25">
      <c r="Q91" s="195"/>
      <c r="R91" s="195"/>
      <c r="S91" s="195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</row>
    <row r="92" spans="17:45" s="54" customFormat="1" x14ac:dyDescent="0.25">
      <c r="Q92" s="195"/>
      <c r="R92" s="195"/>
      <c r="S92" s="195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</row>
    <row r="93" spans="17:45" s="54" customFormat="1" x14ac:dyDescent="0.25">
      <c r="Q93" s="195"/>
      <c r="R93" s="195"/>
      <c r="S93" s="195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</row>
    <row r="94" spans="17:45" s="54" customFormat="1" x14ac:dyDescent="0.25">
      <c r="Q94" s="195"/>
      <c r="R94" s="195"/>
      <c r="S94" s="195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</row>
    <row r="95" spans="17:45" s="54" customFormat="1" x14ac:dyDescent="0.25">
      <c r="Q95" s="195"/>
      <c r="R95" s="195"/>
      <c r="S95" s="195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</row>
    <row r="96" spans="17:45" s="54" customFormat="1" x14ac:dyDescent="0.25">
      <c r="Q96" s="195"/>
      <c r="R96" s="195"/>
      <c r="S96" s="195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</row>
    <row r="97" spans="17:45" s="54" customFormat="1" x14ac:dyDescent="0.25">
      <c r="Q97" s="195"/>
      <c r="R97" s="195"/>
      <c r="S97" s="195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</row>
    <row r="98" spans="17:45" s="54" customFormat="1" x14ac:dyDescent="0.25">
      <c r="Q98" s="195"/>
      <c r="R98" s="195"/>
      <c r="S98" s="195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</row>
    <row r="99" spans="17:45" s="54" customFormat="1" x14ac:dyDescent="0.25">
      <c r="Q99" s="195"/>
      <c r="R99" s="195"/>
      <c r="S99" s="195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</row>
    <row r="100" spans="17:45" s="54" customFormat="1" x14ac:dyDescent="0.25">
      <c r="Q100" s="195"/>
      <c r="R100" s="195"/>
      <c r="S100" s="195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</row>
    <row r="101" spans="17:45" s="54" customFormat="1" x14ac:dyDescent="0.25">
      <c r="Q101" s="195"/>
      <c r="R101" s="195"/>
      <c r="S101" s="195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</row>
    <row r="102" spans="17:45" s="54" customFormat="1" x14ac:dyDescent="0.25">
      <c r="Q102" s="195"/>
      <c r="R102" s="195"/>
      <c r="S102" s="195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</row>
    <row r="103" spans="17:45" s="54" customFormat="1" x14ac:dyDescent="0.25">
      <c r="Q103" s="195"/>
      <c r="R103" s="195"/>
      <c r="S103" s="195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</row>
    <row r="104" spans="17:45" s="54" customFormat="1" x14ac:dyDescent="0.25">
      <c r="Q104" s="195"/>
      <c r="R104" s="195"/>
      <c r="S104" s="195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</row>
    <row r="105" spans="17:45" s="54" customFormat="1" x14ac:dyDescent="0.25">
      <c r="Q105" s="195"/>
      <c r="R105" s="195"/>
      <c r="S105" s="195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</row>
    <row r="106" spans="17:45" s="54" customFormat="1" x14ac:dyDescent="0.25">
      <c r="Q106" s="195"/>
      <c r="R106" s="195"/>
      <c r="S106" s="195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</row>
    <row r="107" spans="17:45" s="54" customFormat="1" x14ac:dyDescent="0.25">
      <c r="Q107" s="195"/>
      <c r="R107" s="195"/>
      <c r="S107" s="195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</row>
    <row r="108" spans="17:45" s="54" customFormat="1" x14ac:dyDescent="0.25">
      <c r="Q108" s="195"/>
      <c r="R108" s="195"/>
      <c r="S108" s="195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</row>
    <row r="109" spans="17:45" s="54" customFormat="1" x14ac:dyDescent="0.25">
      <c r="Q109" s="195"/>
      <c r="R109" s="195"/>
      <c r="S109" s="195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</row>
    <row r="110" spans="17:45" s="54" customFormat="1" x14ac:dyDescent="0.25">
      <c r="Q110" s="195"/>
      <c r="R110" s="195"/>
      <c r="S110" s="195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</row>
    <row r="111" spans="17:45" s="54" customFormat="1" x14ac:dyDescent="0.25">
      <c r="Q111" s="195"/>
      <c r="R111" s="195"/>
      <c r="S111" s="195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</row>
    <row r="112" spans="17:45" s="54" customFormat="1" x14ac:dyDescent="0.25">
      <c r="Q112" s="195"/>
      <c r="R112" s="195"/>
      <c r="S112" s="195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</row>
    <row r="113" spans="17:45" s="54" customFormat="1" x14ac:dyDescent="0.25">
      <c r="Q113" s="195"/>
      <c r="R113" s="195"/>
      <c r="S113" s="195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</row>
    <row r="114" spans="17:45" s="54" customFormat="1" x14ac:dyDescent="0.25">
      <c r="Q114" s="195"/>
      <c r="R114" s="195"/>
      <c r="S114" s="195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</row>
    <row r="115" spans="17:45" s="54" customFormat="1" x14ac:dyDescent="0.25">
      <c r="Q115" s="195"/>
      <c r="R115" s="195"/>
      <c r="S115" s="195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</row>
    <row r="116" spans="17:45" s="54" customFormat="1" x14ac:dyDescent="0.25">
      <c r="Q116" s="195"/>
      <c r="R116" s="195"/>
      <c r="S116" s="195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</row>
    <row r="117" spans="17:45" s="54" customFormat="1" x14ac:dyDescent="0.25">
      <c r="Q117" s="195"/>
      <c r="R117" s="195"/>
      <c r="S117" s="195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</row>
    <row r="118" spans="17:45" s="54" customFormat="1" x14ac:dyDescent="0.25">
      <c r="Q118" s="195"/>
      <c r="R118" s="195"/>
      <c r="S118" s="195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</row>
    <row r="119" spans="17:45" s="54" customFormat="1" x14ac:dyDescent="0.25">
      <c r="Q119" s="195"/>
      <c r="R119" s="195"/>
      <c r="S119" s="195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</row>
    <row r="120" spans="17:45" s="54" customFormat="1" x14ac:dyDescent="0.25">
      <c r="Q120" s="195"/>
      <c r="R120" s="195"/>
      <c r="S120" s="195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</row>
    <row r="121" spans="17:45" s="54" customFormat="1" x14ac:dyDescent="0.25">
      <c r="Q121" s="195"/>
      <c r="R121" s="195"/>
      <c r="S121" s="195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</row>
    <row r="122" spans="17:45" s="54" customFormat="1" x14ac:dyDescent="0.25">
      <c r="Q122" s="195"/>
      <c r="R122" s="195"/>
      <c r="S122" s="195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</row>
    <row r="123" spans="17:45" s="54" customFormat="1" x14ac:dyDescent="0.25">
      <c r="Q123" s="195"/>
      <c r="R123" s="195"/>
      <c r="S123" s="195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</row>
    <row r="124" spans="17:45" s="54" customFormat="1" x14ac:dyDescent="0.25">
      <c r="Q124" s="195"/>
      <c r="R124" s="195"/>
      <c r="S124" s="195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</row>
    <row r="125" spans="17:45" s="54" customFormat="1" x14ac:dyDescent="0.25">
      <c r="Q125" s="195"/>
      <c r="R125" s="195"/>
      <c r="S125" s="195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</row>
    <row r="126" spans="17:45" s="54" customFormat="1" x14ac:dyDescent="0.25">
      <c r="Q126" s="195"/>
      <c r="R126" s="195"/>
      <c r="S126" s="195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</row>
    <row r="127" spans="17:45" s="54" customFormat="1" x14ac:dyDescent="0.25">
      <c r="Q127" s="195"/>
      <c r="R127" s="195"/>
      <c r="S127" s="195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</row>
    <row r="128" spans="17:45" s="54" customFormat="1" x14ac:dyDescent="0.25">
      <c r="Q128" s="195"/>
      <c r="R128" s="195"/>
      <c r="S128" s="195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</row>
    <row r="129" spans="17:45" s="54" customFormat="1" x14ac:dyDescent="0.25">
      <c r="Q129" s="195"/>
      <c r="R129" s="195"/>
      <c r="S129" s="195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</row>
    <row r="130" spans="17:45" s="54" customFormat="1" x14ac:dyDescent="0.25">
      <c r="Q130" s="195"/>
      <c r="R130" s="195"/>
      <c r="S130" s="195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</row>
    <row r="131" spans="17:45" s="54" customFormat="1" x14ac:dyDescent="0.25">
      <c r="Q131" s="195"/>
      <c r="R131" s="195"/>
      <c r="S131" s="195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</row>
    <row r="132" spans="17:45" s="54" customFormat="1" x14ac:dyDescent="0.25">
      <c r="Q132" s="195"/>
      <c r="R132" s="195"/>
      <c r="S132" s="195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</row>
    <row r="133" spans="17:45" s="54" customFormat="1" x14ac:dyDescent="0.25">
      <c r="Q133" s="195"/>
      <c r="R133" s="195"/>
      <c r="S133" s="195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</row>
    <row r="134" spans="17:45" s="54" customFormat="1" x14ac:dyDescent="0.25">
      <c r="Q134" s="195"/>
      <c r="R134" s="195"/>
      <c r="S134" s="195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</row>
    <row r="135" spans="17:45" s="54" customFormat="1" x14ac:dyDescent="0.25">
      <c r="Q135" s="195"/>
      <c r="R135" s="195"/>
      <c r="S135" s="195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</row>
    <row r="136" spans="17:45" s="54" customFormat="1" x14ac:dyDescent="0.25">
      <c r="Q136" s="195"/>
      <c r="R136" s="195"/>
      <c r="S136" s="195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</row>
    <row r="137" spans="17:45" s="54" customFormat="1" x14ac:dyDescent="0.25">
      <c r="Q137" s="195"/>
      <c r="R137" s="195"/>
      <c r="S137" s="195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</row>
    <row r="138" spans="17:45" s="54" customFormat="1" x14ac:dyDescent="0.25">
      <c r="Q138" s="195"/>
      <c r="R138" s="195"/>
      <c r="S138" s="195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</row>
    <row r="139" spans="17:45" s="54" customFormat="1" x14ac:dyDescent="0.25">
      <c r="Q139" s="195"/>
      <c r="R139" s="195"/>
      <c r="S139" s="195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</row>
    <row r="140" spans="17:45" s="54" customFormat="1" x14ac:dyDescent="0.25">
      <c r="Q140" s="195"/>
      <c r="R140" s="195"/>
      <c r="S140" s="195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</row>
    <row r="141" spans="17:45" s="54" customFormat="1" x14ac:dyDescent="0.25">
      <c r="Q141" s="195"/>
      <c r="R141" s="195"/>
      <c r="S141" s="195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</row>
    <row r="142" spans="17:45" s="54" customFormat="1" x14ac:dyDescent="0.25">
      <c r="Q142" s="195"/>
      <c r="R142" s="195"/>
      <c r="S142" s="195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</row>
    <row r="143" spans="17:45" s="54" customFormat="1" x14ac:dyDescent="0.25">
      <c r="Q143" s="195"/>
      <c r="R143" s="195"/>
      <c r="S143" s="195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</row>
    <row r="144" spans="17:45" s="54" customFormat="1" x14ac:dyDescent="0.25">
      <c r="Q144" s="195"/>
      <c r="R144" s="195"/>
      <c r="S144" s="195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</row>
    <row r="145" spans="17:45" s="54" customFormat="1" x14ac:dyDescent="0.25">
      <c r="Q145" s="195"/>
      <c r="R145" s="195"/>
      <c r="S145" s="195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</row>
    <row r="146" spans="17:45" s="54" customFormat="1" x14ac:dyDescent="0.25">
      <c r="Q146" s="195"/>
      <c r="R146" s="195"/>
      <c r="S146" s="195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</row>
    <row r="147" spans="17:45" s="54" customFormat="1" x14ac:dyDescent="0.25">
      <c r="Q147" s="195"/>
      <c r="R147" s="195"/>
      <c r="S147" s="195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</row>
    <row r="148" spans="17:45" s="54" customFormat="1" x14ac:dyDescent="0.25">
      <c r="Q148" s="195"/>
      <c r="R148" s="195"/>
      <c r="S148" s="195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</row>
    <row r="149" spans="17:45" s="54" customFormat="1" x14ac:dyDescent="0.25">
      <c r="Q149" s="195"/>
      <c r="R149" s="195"/>
      <c r="S149" s="195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</row>
    <row r="150" spans="17:45" s="54" customFormat="1" x14ac:dyDescent="0.25">
      <c r="Q150" s="195"/>
      <c r="R150" s="195"/>
      <c r="S150" s="195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</row>
    <row r="151" spans="17:45" s="54" customFormat="1" x14ac:dyDescent="0.25">
      <c r="Q151" s="195"/>
      <c r="R151" s="195"/>
      <c r="S151" s="195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</row>
    <row r="152" spans="17:45" s="54" customFormat="1" x14ac:dyDescent="0.25">
      <c r="Q152" s="195"/>
      <c r="R152" s="195"/>
      <c r="S152" s="195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</row>
    <row r="153" spans="17:45" s="54" customFormat="1" x14ac:dyDescent="0.25">
      <c r="Q153" s="195"/>
      <c r="R153" s="195"/>
      <c r="S153" s="195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</row>
    <row r="154" spans="17:45" s="54" customFormat="1" x14ac:dyDescent="0.25">
      <c r="Q154" s="195"/>
      <c r="R154" s="195"/>
      <c r="S154" s="195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</row>
    <row r="155" spans="17:45" s="54" customFormat="1" x14ac:dyDescent="0.25">
      <c r="Q155" s="195"/>
      <c r="R155" s="195"/>
      <c r="S155" s="195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</row>
    <row r="156" spans="17:45" s="54" customFormat="1" x14ac:dyDescent="0.25">
      <c r="Q156" s="195"/>
      <c r="R156" s="195"/>
      <c r="S156" s="195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</row>
    <row r="157" spans="17:45" s="54" customFormat="1" x14ac:dyDescent="0.25">
      <c r="Q157" s="195"/>
      <c r="R157" s="195"/>
      <c r="S157" s="195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</row>
    <row r="158" spans="17:45" s="54" customFormat="1" x14ac:dyDescent="0.25">
      <c r="Q158" s="195"/>
      <c r="R158" s="195"/>
      <c r="S158" s="195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</row>
    <row r="159" spans="17:45" s="54" customFormat="1" x14ac:dyDescent="0.25">
      <c r="Q159" s="195"/>
      <c r="R159" s="195"/>
      <c r="S159" s="195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</row>
    <row r="160" spans="17:45" s="54" customFormat="1" x14ac:dyDescent="0.25">
      <c r="Q160" s="195"/>
      <c r="R160" s="195"/>
      <c r="S160" s="195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</row>
    <row r="161" spans="17:45" s="54" customFormat="1" x14ac:dyDescent="0.25">
      <c r="Q161" s="195"/>
      <c r="R161" s="195"/>
      <c r="S161" s="195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</row>
    <row r="162" spans="17:45" s="54" customFormat="1" x14ac:dyDescent="0.25">
      <c r="Q162" s="195"/>
      <c r="R162" s="195"/>
      <c r="S162" s="195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</row>
    <row r="163" spans="17:45" s="54" customFormat="1" x14ac:dyDescent="0.25">
      <c r="Q163" s="195"/>
      <c r="R163" s="195"/>
      <c r="S163" s="195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</row>
    <row r="164" spans="17:45" s="54" customFormat="1" x14ac:dyDescent="0.25">
      <c r="Q164" s="195"/>
      <c r="R164" s="195"/>
      <c r="S164" s="195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</row>
    <row r="165" spans="17:45" s="54" customFormat="1" x14ac:dyDescent="0.25">
      <c r="Q165" s="195"/>
      <c r="R165" s="195"/>
      <c r="S165" s="195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</row>
    <row r="166" spans="17:45" s="54" customFormat="1" x14ac:dyDescent="0.25">
      <c r="Q166" s="195"/>
      <c r="R166" s="195"/>
      <c r="S166" s="195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</row>
    <row r="167" spans="17:45" s="54" customFormat="1" x14ac:dyDescent="0.25">
      <c r="Q167" s="195"/>
      <c r="R167" s="195"/>
      <c r="S167" s="195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</row>
    <row r="168" spans="17:45" s="54" customFormat="1" x14ac:dyDescent="0.25">
      <c r="Q168" s="195"/>
      <c r="R168" s="195"/>
      <c r="S168" s="195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</row>
    <row r="169" spans="17:45" s="54" customFormat="1" x14ac:dyDescent="0.25">
      <c r="Q169" s="195"/>
      <c r="R169" s="195"/>
      <c r="S169" s="195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</row>
    <row r="170" spans="17:45" s="54" customFormat="1" x14ac:dyDescent="0.25">
      <c r="Q170" s="195"/>
      <c r="R170" s="195"/>
      <c r="S170" s="195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</row>
    <row r="171" spans="17:45" s="54" customFormat="1" x14ac:dyDescent="0.25">
      <c r="Q171" s="195"/>
      <c r="R171" s="195"/>
      <c r="S171" s="195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</row>
    <row r="172" spans="17:45" s="54" customFormat="1" x14ac:dyDescent="0.25">
      <c r="Q172" s="195"/>
      <c r="R172" s="195"/>
      <c r="S172" s="195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</row>
    <row r="173" spans="17:45" s="54" customFormat="1" x14ac:dyDescent="0.25">
      <c r="Q173" s="195"/>
      <c r="R173" s="195"/>
      <c r="S173" s="195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</row>
    <row r="174" spans="17:45" s="54" customFormat="1" x14ac:dyDescent="0.25">
      <c r="Q174" s="195"/>
      <c r="R174" s="195"/>
      <c r="S174" s="195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</row>
    <row r="175" spans="17:45" s="54" customFormat="1" x14ac:dyDescent="0.25">
      <c r="Q175" s="195"/>
      <c r="R175" s="195"/>
      <c r="S175" s="195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</row>
    <row r="176" spans="17:45" s="54" customFormat="1" x14ac:dyDescent="0.25">
      <c r="Q176" s="195"/>
      <c r="R176" s="195"/>
      <c r="S176" s="195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</row>
    <row r="177" spans="17:45" s="54" customFormat="1" x14ac:dyDescent="0.25">
      <c r="Q177" s="195"/>
      <c r="R177" s="195"/>
      <c r="S177" s="195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</row>
    <row r="178" spans="17:45" s="54" customFormat="1" x14ac:dyDescent="0.25">
      <c r="Q178" s="195"/>
      <c r="R178" s="195"/>
      <c r="S178" s="195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</row>
    <row r="179" spans="17:45" s="54" customFormat="1" x14ac:dyDescent="0.25">
      <c r="Q179" s="195"/>
      <c r="R179" s="195"/>
      <c r="S179" s="195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</row>
    <row r="180" spans="17:45" s="54" customFormat="1" x14ac:dyDescent="0.25">
      <c r="Q180" s="195"/>
      <c r="R180" s="195"/>
      <c r="S180" s="195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</row>
    <row r="181" spans="17:45" s="54" customFormat="1" x14ac:dyDescent="0.25">
      <c r="Q181" s="195"/>
      <c r="R181" s="195"/>
      <c r="S181" s="195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</row>
    <row r="182" spans="17:45" s="54" customFormat="1" x14ac:dyDescent="0.25">
      <c r="Q182" s="195"/>
      <c r="R182" s="195"/>
      <c r="S182" s="195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</row>
    <row r="183" spans="17:45" s="54" customFormat="1" x14ac:dyDescent="0.25">
      <c r="Q183" s="195"/>
      <c r="R183" s="195"/>
      <c r="S183" s="195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</row>
    <row r="184" spans="17:45" s="54" customFormat="1" x14ac:dyDescent="0.25">
      <c r="Q184" s="195"/>
      <c r="R184" s="195"/>
      <c r="S184" s="195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</row>
    <row r="185" spans="17:45" s="54" customFormat="1" x14ac:dyDescent="0.25">
      <c r="Q185" s="195"/>
      <c r="R185" s="195"/>
      <c r="S185" s="195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</row>
    <row r="186" spans="17:45" s="54" customFormat="1" x14ac:dyDescent="0.25">
      <c r="Q186" s="195"/>
      <c r="R186" s="195"/>
      <c r="S186" s="195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</row>
    <row r="187" spans="17:45" s="54" customFormat="1" x14ac:dyDescent="0.25">
      <c r="Q187" s="195"/>
      <c r="R187" s="195"/>
      <c r="S187" s="195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</row>
    <row r="188" spans="17:45" s="54" customFormat="1" x14ac:dyDescent="0.25">
      <c r="Q188" s="195"/>
      <c r="R188" s="195"/>
      <c r="S188" s="195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</row>
    <row r="189" spans="17:45" s="54" customFormat="1" x14ac:dyDescent="0.25">
      <c r="Q189" s="195"/>
      <c r="R189" s="195"/>
      <c r="S189" s="195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</row>
    <row r="190" spans="17:45" s="54" customFormat="1" x14ac:dyDescent="0.25">
      <c r="Q190" s="195"/>
      <c r="R190" s="195"/>
      <c r="S190" s="195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</row>
    <row r="191" spans="17:45" s="54" customFormat="1" x14ac:dyDescent="0.25">
      <c r="Q191" s="195"/>
      <c r="R191" s="195"/>
      <c r="S191" s="195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</row>
    <row r="192" spans="17:45" s="54" customFormat="1" x14ac:dyDescent="0.25">
      <c r="Q192" s="195"/>
      <c r="R192" s="195"/>
      <c r="S192" s="195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</row>
    <row r="193" spans="17:45" s="54" customFormat="1" x14ac:dyDescent="0.25">
      <c r="Q193" s="195"/>
      <c r="R193" s="195"/>
      <c r="S193" s="195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</row>
    <row r="194" spans="17:45" s="54" customFormat="1" x14ac:dyDescent="0.25">
      <c r="Q194" s="195"/>
      <c r="R194" s="195"/>
      <c r="S194" s="195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</row>
    <row r="195" spans="17:45" s="54" customFormat="1" x14ac:dyDescent="0.25">
      <c r="Q195" s="195"/>
      <c r="R195" s="195"/>
      <c r="S195" s="195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</row>
    <row r="196" spans="17:45" s="54" customFormat="1" x14ac:dyDescent="0.25">
      <c r="Q196" s="195"/>
      <c r="R196" s="195"/>
      <c r="S196" s="195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</row>
    <row r="197" spans="17:45" s="54" customFormat="1" x14ac:dyDescent="0.25">
      <c r="Q197" s="195"/>
      <c r="R197" s="195"/>
      <c r="S197" s="195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</row>
    <row r="198" spans="17:45" s="54" customFormat="1" x14ac:dyDescent="0.25">
      <c r="Q198" s="195"/>
      <c r="R198" s="195"/>
      <c r="S198" s="195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</row>
    <row r="199" spans="17:45" s="54" customFormat="1" x14ac:dyDescent="0.25">
      <c r="Q199" s="195"/>
      <c r="R199" s="195"/>
      <c r="S199" s="195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</row>
    <row r="200" spans="17:45" s="54" customFormat="1" x14ac:dyDescent="0.25">
      <c r="Q200" s="195"/>
      <c r="R200" s="195"/>
      <c r="S200" s="195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</row>
    <row r="201" spans="17:45" s="54" customFormat="1" x14ac:dyDescent="0.25">
      <c r="Q201" s="195"/>
      <c r="R201" s="195"/>
      <c r="S201" s="195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</row>
    <row r="202" spans="17:45" s="54" customFormat="1" x14ac:dyDescent="0.25">
      <c r="Q202" s="195"/>
      <c r="R202" s="195"/>
      <c r="S202" s="195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</row>
    <row r="203" spans="17:45" s="54" customFormat="1" x14ac:dyDescent="0.25">
      <c r="Q203" s="195"/>
      <c r="R203" s="195"/>
      <c r="S203" s="195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</row>
    <row r="204" spans="17:45" s="54" customFormat="1" x14ac:dyDescent="0.25">
      <c r="Q204" s="195"/>
      <c r="R204" s="195"/>
      <c r="S204" s="195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</row>
    <row r="205" spans="17:45" s="54" customFormat="1" x14ac:dyDescent="0.25">
      <c r="Q205" s="195"/>
      <c r="R205" s="195"/>
      <c r="S205" s="195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</row>
    <row r="206" spans="17:45" s="54" customFormat="1" x14ac:dyDescent="0.25">
      <c r="Q206" s="195"/>
      <c r="R206" s="195"/>
      <c r="S206" s="195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</row>
    <row r="207" spans="17:45" s="54" customFormat="1" x14ac:dyDescent="0.25">
      <c r="Q207" s="195"/>
      <c r="R207" s="195"/>
      <c r="S207" s="195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</row>
    <row r="208" spans="17:45" s="54" customFormat="1" x14ac:dyDescent="0.25">
      <c r="Q208" s="195"/>
      <c r="R208" s="195"/>
      <c r="S208" s="195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</row>
    <row r="209" spans="17:45" s="54" customFormat="1" x14ac:dyDescent="0.25">
      <c r="Q209" s="195"/>
      <c r="R209" s="195"/>
      <c r="S209" s="195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</row>
    <row r="210" spans="17:45" s="54" customFormat="1" x14ac:dyDescent="0.25">
      <c r="Q210" s="195"/>
      <c r="R210" s="195"/>
      <c r="S210" s="195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</row>
    <row r="211" spans="17:45" s="54" customFormat="1" x14ac:dyDescent="0.25">
      <c r="Q211" s="195"/>
      <c r="R211" s="195"/>
      <c r="S211" s="195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</row>
    <row r="212" spans="17:45" s="54" customFormat="1" x14ac:dyDescent="0.25">
      <c r="Q212" s="195"/>
      <c r="R212" s="195"/>
      <c r="S212" s="195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</row>
    <row r="213" spans="17:45" s="54" customFormat="1" x14ac:dyDescent="0.25">
      <c r="Q213" s="195"/>
      <c r="R213" s="195"/>
      <c r="S213" s="195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</row>
    <row r="214" spans="17:45" s="54" customFormat="1" x14ac:dyDescent="0.25">
      <c r="Q214" s="195"/>
      <c r="R214" s="195"/>
      <c r="S214" s="195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</row>
    <row r="215" spans="17:45" s="54" customFormat="1" x14ac:dyDescent="0.25">
      <c r="Q215" s="195"/>
      <c r="R215" s="195"/>
      <c r="S215" s="195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</row>
    <row r="216" spans="17:45" s="54" customFormat="1" x14ac:dyDescent="0.25">
      <c r="Q216" s="195"/>
      <c r="R216" s="195"/>
      <c r="S216" s="195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</row>
    <row r="217" spans="17:45" s="54" customFormat="1" x14ac:dyDescent="0.25">
      <c r="Q217" s="195"/>
      <c r="R217" s="195"/>
      <c r="S217" s="195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</row>
    <row r="218" spans="17:45" s="54" customFormat="1" x14ac:dyDescent="0.25">
      <c r="Q218" s="195"/>
      <c r="R218" s="195"/>
      <c r="S218" s="195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</row>
    <row r="219" spans="17:45" s="54" customFormat="1" x14ac:dyDescent="0.25">
      <c r="Q219" s="195"/>
      <c r="R219" s="195"/>
      <c r="S219" s="195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</row>
    <row r="220" spans="17:45" s="54" customFormat="1" x14ac:dyDescent="0.25">
      <c r="Q220" s="195"/>
      <c r="R220" s="195"/>
      <c r="S220" s="195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</row>
    <row r="221" spans="17:45" s="54" customFormat="1" x14ac:dyDescent="0.25">
      <c r="Q221" s="195"/>
      <c r="R221" s="195"/>
      <c r="S221" s="195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</row>
    <row r="222" spans="17:45" s="54" customFormat="1" x14ac:dyDescent="0.25">
      <c r="Q222" s="195"/>
      <c r="R222" s="195"/>
      <c r="S222" s="195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</row>
    <row r="223" spans="17:45" s="54" customFormat="1" x14ac:dyDescent="0.25">
      <c r="Q223" s="195"/>
      <c r="R223" s="195"/>
      <c r="S223" s="195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</row>
    <row r="224" spans="17:45" s="54" customFormat="1" x14ac:dyDescent="0.25">
      <c r="Q224" s="195"/>
      <c r="R224" s="195"/>
      <c r="S224" s="195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</row>
    <row r="225" spans="17:45" s="54" customFormat="1" x14ac:dyDescent="0.25">
      <c r="Q225" s="195"/>
      <c r="R225" s="195"/>
      <c r="S225" s="195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</row>
    <row r="226" spans="17:45" s="54" customFormat="1" x14ac:dyDescent="0.25">
      <c r="Q226" s="195"/>
      <c r="R226" s="195"/>
      <c r="S226" s="195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</row>
    <row r="227" spans="17:45" s="54" customFormat="1" x14ac:dyDescent="0.25">
      <c r="Q227" s="195"/>
      <c r="R227" s="195"/>
      <c r="S227" s="195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</row>
    <row r="228" spans="17:45" s="54" customFormat="1" x14ac:dyDescent="0.25">
      <c r="Q228" s="195"/>
      <c r="R228" s="195"/>
      <c r="S228" s="195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</row>
    <row r="229" spans="17:45" s="54" customFormat="1" x14ac:dyDescent="0.25">
      <c r="Q229" s="195"/>
      <c r="R229" s="195"/>
      <c r="S229" s="195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</row>
    <row r="230" spans="17:45" s="54" customFormat="1" x14ac:dyDescent="0.25">
      <c r="Q230" s="195"/>
      <c r="R230" s="195"/>
      <c r="S230" s="195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</row>
    <row r="231" spans="17:45" s="54" customFormat="1" x14ac:dyDescent="0.25">
      <c r="Q231" s="195"/>
      <c r="R231" s="195"/>
      <c r="S231" s="195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</row>
    <row r="232" spans="17:45" s="54" customFormat="1" x14ac:dyDescent="0.25">
      <c r="Q232" s="195"/>
      <c r="R232" s="195"/>
      <c r="S232" s="195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</row>
    <row r="233" spans="17:45" s="54" customFormat="1" x14ac:dyDescent="0.25">
      <c r="Q233" s="195"/>
      <c r="R233" s="195"/>
      <c r="S233" s="195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</row>
    <row r="234" spans="17:45" s="54" customFormat="1" x14ac:dyDescent="0.25">
      <c r="Q234" s="195"/>
      <c r="R234" s="195"/>
      <c r="S234" s="195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</row>
    <row r="235" spans="17:45" s="54" customFormat="1" x14ac:dyDescent="0.25">
      <c r="Q235" s="195"/>
      <c r="R235" s="195"/>
      <c r="S235" s="195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</row>
    <row r="236" spans="17:45" s="54" customFormat="1" x14ac:dyDescent="0.25">
      <c r="Q236" s="195"/>
      <c r="R236" s="195"/>
      <c r="S236" s="195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</row>
    <row r="237" spans="17:45" s="54" customFormat="1" x14ac:dyDescent="0.25">
      <c r="Q237" s="195"/>
      <c r="R237" s="195"/>
      <c r="S237" s="195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</row>
    <row r="238" spans="17:45" s="54" customFormat="1" x14ac:dyDescent="0.25">
      <c r="Q238" s="195"/>
      <c r="R238" s="195"/>
      <c r="S238" s="195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</row>
    <row r="239" spans="17:45" s="54" customFormat="1" x14ac:dyDescent="0.25">
      <c r="Q239" s="195"/>
      <c r="R239" s="195"/>
      <c r="S239" s="195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</row>
    <row r="240" spans="17:45" s="54" customFormat="1" x14ac:dyDescent="0.25">
      <c r="Q240" s="195"/>
      <c r="R240" s="195"/>
      <c r="S240" s="195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</row>
    <row r="241" spans="17:45" s="54" customFormat="1" x14ac:dyDescent="0.25">
      <c r="Q241" s="195"/>
      <c r="R241" s="195"/>
      <c r="S241" s="195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</row>
    <row r="242" spans="17:45" s="54" customFormat="1" x14ac:dyDescent="0.25">
      <c r="Q242" s="195"/>
      <c r="R242" s="195"/>
      <c r="S242" s="195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</row>
    <row r="243" spans="17:45" s="54" customFormat="1" x14ac:dyDescent="0.25">
      <c r="Q243" s="195"/>
      <c r="R243" s="195"/>
      <c r="S243" s="195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</row>
    <row r="244" spans="17:45" s="54" customFormat="1" x14ac:dyDescent="0.25">
      <c r="Q244" s="195"/>
      <c r="R244" s="195"/>
      <c r="S244" s="195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</row>
    <row r="245" spans="17:45" s="54" customFormat="1" x14ac:dyDescent="0.25">
      <c r="Q245" s="195"/>
      <c r="R245" s="195"/>
      <c r="S245" s="195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</row>
    <row r="246" spans="17:45" s="54" customFormat="1" x14ac:dyDescent="0.25">
      <c r="Q246" s="195"/>
      <c r="R246" s="195"/>
      <c r="S246" s="195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</row>
    <row r="247" spans="17:45" s="54" customFormat="1" x14ac:dyDescent="0.25">
      <c r="Q247" s="195"/>
      <c r="R247" s="195"/>
      <c r="S247" s="195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</row>
    <row r="248" spans="17:45" s="54" customFormat="1" x14ac:dyDescent="0.25">
      <c r="Q248" s="195"/>
      <c r="R248" s="195"/>
      <c r="S248" s="195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</row>
    <row r="249" spans="17:45" s="54" customFormat="1" x14ac:dyDescent="0.25">
      <c r="Q249" s="195"/>
      <c r="R249" s="195"/>
      <c r="S249" s="195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</row>
    <row r="250" spans="17:45" s="54" customFormat="1" x14ac:dyDescent="0.25">
      <c r="Q250" s="195"/>
      <c r="R250" s="195"/>
      <c r="S250" s="195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</row>
    <row r="251" spans="17:45" s="54" customFormat="1" x14ac:dyDescent="0.25">
      <c r="Q251" s="195"/>
      <c r="R251" s="195"/>
      <c r="S251" s="195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</row>
    <row r="252" spans="17:45" s="54" customFormat="1" x14ac:dyDescent="0.25">
      <c r="Q252" s="195"/>
      <c r="R252" s="195"/>
      <c r="S252" s="195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</row>
    <row r="253" spans="17:45" s="54" customFormat="1" x14ac:dyDescent="0.25">
      <c r="Q253" s="195"/>
      <c r="R253" s="195"/>
      <c r="S253" s="195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</row>
    <row r="254" spans="17:45" s="54" customFormat="1" x14ac:dyDescent="0.25">
      <c r="Q254" s="195"/>
      <c r="R254" s="195"/>
      <c r="S254" s="195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</row>
    <row r="255" spans="17:45" s="54" customFormat="1" x14ac:dyDescent="0.25">
      <c r="Q255" s="195"/>
      <c r="R255" s="195"/>
      <c r="S255" s="195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</row>
    <row r="256" spans="17:45" s="54" customFormat="1" x14ac:dyDescent="0.25">
      <c r="Q256" s="195"/>
      <c r="R256" s="195"/>
      <c r="S256" s="195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</row>
    <row r="257" spans="17:45" s="54" customFormat="1" x14ac:dyDescent="0.25">
      <c r="Q257" s="195"/>
      <c r="R257" s="195"/>
      <c r="S257" s="195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</row>
    <row r="258" spans="17:45" s="54" customFormat="1" x14ac:dyDescent="0.25">
      <c r="Q258" s="195"/>
      <c r="R258" s="195"/>
      <c r="S258" s="195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</row>
    <row r="259" spans="17:45" s="54" customFormat="1" x14ac:dyDescent="0.25">
      <c r="Q259" s="195"/>
      <c r="R259" s="195"/>
      <c r="S259" s="195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</row>
    <row r="260" spans="17:45" s="54" customFormat="1" x14ac:dyDescent="0.25">
      <c r="Q260" s="195"/>
      <c r="R260" s="195"/>
      <c r="S260" s="195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</row>
    <row r="261" spans="17:45" s="54" customFormat="1" x14ac:dyDescent="0.25">
      <c r="Q261" s="195"/>
      <c r="R261" s="195"/>
      <c r="S261" s="195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</row>
    <row r="262" spans="17:45" s="54" customFormat="1" x14ac:dyDescent="0.25">
      <c r="Q262" s="195"/>
      <c r="R262" s="195"/>
      <c r="S262" s="195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</row>
    <row r="263" spans="17:45" s="54" customFormat="1" x14ac:dyDescent="0.25">
      <c r="Q263" s="195"/>
      <c r="R263" s="195"/>
      <c r="S263" s="195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</row>
    <row r="264" spans="17:45" s="54" customFormat="1" x14ac:dyDescent="0.25">
      <c r="Q264" s="195"/>
      <c r="R264" s="195"/>
      <c r="S264" s="195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</row>
    <row r="265" spans="17:45" s="54" customFormat="1" x14ac:dyDescent="0.25">
      <c r="Q265" s="195"/>
      <c r="R265" s="195"/>
      <c r="S265" s="195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</row>
    <row r="266" spans="17:45" s="54" customFormat="1" x14ac:dyDescent="0.25">
      <c r="Q266" s="195"/>
      <c r="R266" s="195"/>
      <c r="S266" s="195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</row>
    <row r="267" spans="17:45" s="54" customFormat="1" x14ac:dyDescent="0.25">
      <c r="Q267" s="195"/>
      <c r="R267" s="195"/>
      <c r="S267" s="195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</row>
    <row r="268" spans="17:45" s="54" customFormat="1" x14ac:dyDescent="0.25">
      <c r="Q268" s="195"/>
      <c r="R268" s="195"/>
      <c r="S268" s="195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</row>
    <row r="269" spans="17:45" s="54" customFormat="1" x14ac:dyDescent="0.25">
      <c r="Q269" s="195"/>
      <c r="R269" s="195"/>
      <c r="S269" s="195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</row>
    <row r="270" spans="17:45" s="54" customFormat="1" x14ac:dyDescent="0.25">
      <c r="Q270" s="195"/>
      <c r="R270" s="195"/>
      <c r="S270" s="195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</row>
    <row r="271" spans="17:45" s="54" customFormat="1" x14ac:dyDescent="0.25">
      <c r="Q271" s="195"/>
      <c r="R271" s="195"/>
      <c r="S271" s="195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</row>
    <row r="272" spans="17:45" s="54" customFormat="1" x14ac:dyDescent="0.25">
      <c r="Q272" s="195"/>
      <c r="R272" s="195"/>
      <c r="S272" s="195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</row>
    <row r="273" spans="17:45" s="54" customFormat="1" x14ac:dyDescent="0.25">
      <c r="Q273" s="195"/>
      <c r="R273" s="195"/>
      <c r="S273" s="195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</row>
    <row r="274" spans="17:45" s="54" customFormat="1" x14ac:dyDescent="0.25">
      <c r="Q274" s="195"/>
      <c r="R274" s="195"/>
      <c r="S274" s="195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</row>
    <row r="275" spans="17:45" s="54" customFormat="1" x14ac:dyDescent="0.25">
      <c r="Q275" s="195"/>
      <c r="R275" s="195"/>
      <c r="S275" s="195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</row>
    <row r="276" spans="17:45" s="54" customFormat="1" x14ac:dyDescent="0.25">
      <c r="Q276" s="195"/>
      <c r="R276" s="195"/>
      <c r="S276" s="195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</row>
    <row r="277" spans="17:45" s="54" customFormat="1" x14ac:dyDescent="0.25">
      <c r="Q277" s="195"/>
      <c r="R277" s="195"/>
      <c r="S277" s="195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</row>
    <row r="278" spans="17:45" s="54" customFormat="1" x14ac:dyDescent="0.25">
      <c r="Q278" s="195"/>
      <c r="R278" s="195"/>
      <c r="S278" s="195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</row>
    <row r="279" spans="17:45" s="54" customFormat="1" x14ac:dyDescent="0.25">
      <c r="Q279" s="195"/>
      <c r="R279" s="195"/>
      <c r="S279" s="195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</row>
    <row r="280" spans="17:45" s="54" customFormat="1" x14ac:dyDescent="0.25">
      <c r="Q280" s="195"/>
      <c r="R280" s="195"/>
      <c r="S280" s="195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</row>
    <row r="281" spans="17:45" s="54" customFormat="1" x14ac:dyDescent="0.25">
      <c r="Q281" s="195"/>
      <c r="R281" s="195"/>
      <c r="S281" s="195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</row>
    <row r="282" spans="17:45" s="54" customFormat="1" x14ac:dyDescent="0.25">
      <c r="Q282" s="195"/>
      <c r="R282" s="195"/>
      <c r="S282" s="195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</row>
    <row r="283" spans="17:45" s="54" customFormat="1" x14ac:dyDescent="0.25">
      <c r="Q283" s="195"/>
      <c r="R283" s="195"/>
      <c r="S283" s="195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</row>
    <row r="284" spans="17:45" s="54" customFormat="1" x14ac:dyDescent="0.25">
      <c r="Q284" s="195"/>
      <c r="R284" s="195"/>
      <c r="S284" s="195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</row>
    <row r="285" spans="17:45" s="54" customFormat="1" x14ac:dyDescent="0.25">
      <c r="Q285" s="195"/>
      <c r="R285" s="195"/>
      <c r="S285" s="195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</row>
    <row r="286" spans="17:45" s="54" customFormat="1" x14ac:dyDescent="0.25">
      <c r="Q286" s="195"/>
      <c r="R286" s="195"/>
      <c r="S286" s="195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</row>
    <row r="287" spans="17:45" s="54" customFormat="1" x14ac:dyDescent="0.25">
      <c r="Q287" s="195"/>
      <c r="R287" s="195"/>
      <c r="S287" s="195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</row>
    <row r="288" spans="17:45" s="54" customFormat="1" x14ac:dyDescent="0.25">
      <c r="Q288" s="195"/>
      <c r="R288" s="195"/>
      <c r="S288" s="195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</row>
    <row r="289" spans="17:45" s="54" customFormat="1" x14ac:dyDescent="0.25">
      <c r="Q289" s="195"/>
      <c r="R289" s="195"/>
      <c r="S289" s="195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</row>
    <row r="290" spans="17:45" s="54" customFormat="1" x14ac:dyDescent="0.25">
      <c r="Q290" s="195"/>
      <c r="R290" s="195"/>
      <c r="S290" s="195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</row>
    <row r="291" spans="17:45" s="54" customFormat="1" x14ac:dyDescent="0.25">
      <c r="Q291" s="195"/>
      <c r="R291" s="195"/>
      <c r="S291" s="195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</row>
    <row r="292" spans="17:45" s="54" customFormat="1" x14ac:dyDescent="0.25">
      <c r="Q292" s="195"/>
      <c r="R292" s="195"/>
      <c r="S292" s="195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</row>
    <row r="293" spans="17:45" s="54" customFormat="1" x14ac:dyDescent="0.25">
      <c r="Q293" s="195"/>
      <c r="R293" s="195"/>
      <c r="S293" s="195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</row>
    <row r="294" spans="17:45" s="54" customFormat="1" x14ac:dyDescent="0.25">
      <c r="Q294" s="195"/>
      <c r="R294" s="195"/>
      <c r="S294" s="195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</row>
    <row r="295" spans="17:45" s="54" customFormat="1" x14ac:dyDescent="0.25">
      <c r="Q295" s="195"/>
      <c r="R295" s="195"/>
      <c r="S295" s="195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</row>
    <row r="296" spans="17:45" s="54" customFormat="1" x14ac:dyDescent="0.25">
      <c r="Q296" s="195"/>
      <c r="R296" s="195"/>
      <c r="S296" s="195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</row>
    <row r="297" spans="17:45" s="54" customFormat="1" x14ac:dyDescent="0.25">
      <c r="Q297" s="195"/>
      <c r="R297" s="195"/>
      <c r="S297" s="195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</row>
    <row r="298" spans="17:45" s="54" customFormat="1" x14ac:dyDescent="0.25">
      <c r="Q298" s="195"/>
      <c r="R298" s="195"/>
      <c r="S298" s="195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</row>
    <row r="299" spans="17:45" s="54" customFormat="1" x14ac:dyDescent="0.25">
      <c r="Q299" s="195"/>
      <c r="R299" s="195"/>
      <c r="S299" s="195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</row>
    <row r="300" spans="17:45" s="54" customFormat="1" x14ac:dyDescent="0.25">
      <c r="Q300" s="195"/>
      <c r="R300" s="195"/>
      <c r="S300" s="195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</row>
    <row r="301" spans="17:45" s="54" customFormat="1" x14ac:dyDescent="0.25">
      <c r="Q301" s="195"/>
      <c r="R301" s="195"/>
      <c r="S301" s="195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</row>
    <row r="302" spans="17:45" s="54" customFormat="1" x14ac:dyDescent="0.25">
      <c r="Q302" s="195"/>
      <c r="R302" s="195"/>
      <c r="S302" s="195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</row>
    <row r="303" spans="17:45" s="54" customFormat="1" x14ac:dyDescent="0.25">
      <c r="Q303" s="195"/>
      <c r="R303" s="195"/>
      <c r="S303" s="195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</row>
    <row r="304" spans="17:45" s="54" customFormat="1" x14ac:dyDescent="0.25">
      <c r="Q304" s="195"/>
      <c r="R304" s="195"/>
      <c r="S304" s="195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</row>
    <row r="305" spans="17:45" s="54" customFormat="1" x14ac:dyDescent="0.25">
      <c r="Q305" s="195"/>
      <c r="R305" s="195"/>
      <c r="S305" s="195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</row>
    <row r="306" spans="17:45" s="54" customFormat="1" x14ac:dyDescent="0.25">
      <c r="Q306" s="195"/>
      <c r="R306" s="195"/>
      <c r="S306" s="195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</row>
    <row r="307" spans="17:45" s="54" customFormat="1" x14ac:dyDescent="0.25">
      <c r="Q307" s="195"/>
      <c r="R307" s="195"/>
      <c r="S307" s="195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</row>
    <row r="308" spans="17:45" s="54" customFormat="1" x14ac:dyDescent="0.25">
      <c r="Q308" s="195"/>
      <c r="R308" s="195"/>
      <c r="S308" s="195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</row>
    <row r="309" spans="17:45" s="54" customFormat="1" x14ac:dyDescent="0.25">
      <c r="Q309" s="195"/>
      <c r="R309" s="195"/>
      <c r="S309" s="195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</row>
    <row r="310" spans="17:45" s="54" customFormat="1" x14ac:dyDescent="0.25">
      <c r="Q310" s="195"/>
      <c r="R310" s="195"/>
      <c r="S310" s="195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</row>
    <row r="311" spans="17:45" s="54" customFormat="1" x14ac:dyDescent="0.25">
      <c r="Q311" s="195"/>
      <c r="R311" s="195"/>
      <c r="S311" s="195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</row>
    <row r="312" spans="17:45" s="54" customFormat="1" x14ac:dyDescent="0.25">
      <c r="Q312" s="195"/>
      <c r="R312" s="195"/>
      <c r="S312" s="195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</row>
    <row r="313" spans="17:45" s="54" customFormat="1" x14ac:dyDescent="0.25">
      <c r="Q313" s="195"/>
      <c r="R313" s="195"/>
      <c r="S313" s="195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</row>
    <row r="314" spans="17:45" s="54" customFormat="1" x14ac:dyDescent="0.25">
      <c r="Q314" s="195"/>
      <c r="R314" s="195"/>
      <c r="S314" s="195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</row>
    <row r="315" spans="17:45" s="54" customFormat="1" x14ac:dyDescent="0.25">
      <c r="Q315" s="195"/>
      <c r="R315" s="195"/>
      <c r="S315" s="195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</row>
    <row r="316" spans="17:45" s="54" customFormat="1" x14ac:dyDescent="0.25">
      <c r="Q316" s="195"/>
      <c r="R316" s="195"/>
      <c r="S316" s="195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</row>
    <row r="317" spans="17:45" s="54" customFormat="1" x14ac:dyDescent="0.25">
      <c r="Q317" s="195"/>
      <c r="R317" s="195"/>
      <c r="S317" s="195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</row>
    <row r="318" spans="17:45" s="54" customFormat="1" x14ac:dyDescent="0.25">
      <c r="Q318" s="195"/>
      <c r="R318" s="195"/>
      <c r="S318" s="195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</row>
    <row r="319" spans="17:45" s="54" customFormat="1" x14ac:dyDescent="0.25">
      <c r="Q319" s="195"/>
      <c r="R319" s="195"/>
      <c r="S319" s="195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</row>
    <row r="320" spans="17:45" s="54" customFormat="1" x14ac:dyDescent="0.25">
      <c r="Q320" s="195"/>
      <c r="R320" s="195"/>
      <c r="S320" s="195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</row>
    <row r="321" spans="17:45" s="54" customFormat="1" x14ac:dyDescent="0.25">
      <c r="Q321" s="195"/>
      <c r="R321" s="195"/>
      <c r="S321" s="195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</row>
    <row r="322" spans="17:45" s="54" customFormat="1" x14ac:dyDescent="0.25">
      <c r="Q322" s="195"/>
      <c r="R322" s="195"/>
      <c r="S322" s="195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</row>
    <row r="323" spans="17:45" s="54" customFormat="1" x14ac:dyDescent="0.25">
      <c r="Q323" s="195"/>
      <c r="R323" s="195"/>
      <c r="S323" s="195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</row>
    <row r="324" spans="17:45" s="54" customFormat="1" x14ac:dyDescent="0.25">
      <c r="Q324" s="195"/>
      <c r="R324" s="195"/>
      <c r="S324" s="195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</row>
    <row r="325" spans="17:45" s="54" customFormat="1" x14ac:dyDescent="0.25">
      <c r="Q325" s="195"/>
      <c r="R325" s="195"/>
      <c r="S325" s="195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</row>
    <row r="326" spans="17:45" s="54" customFormat="1" x14ac:dyDescent="0.25">
      <c r="Q326" s="195"/>
      <c r="R326" s="195"/>
      <c r="S326" s="195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</row>
    <row r="327" spans="17:45" s="54" customFormat="1" x14ac:dyDescent="0.25">
      <c r="Q327" s="195"/>
      <c r="R327" s="195"/>
      <c r="S327" s="195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</row>
    <row r="328" spans="17:45" s="54" customFormat="1" x14ac:dyDescent="0.25">
      <c r="Q328" s="195"/>
      <c r="R328" s="195"/>
      <c r="S328" s="195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</row>
    <row r="329" spans="17:45" s="54" customFormat="1" x14ac:dyDescent="0.25">
      <c r="Q329" s="195"/>
      <c r="R329" s="195"/>
      <c r="S329" s="195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</row>
    <row r="330" spans="17:45" s="54" customFormat="1" x14ac:dyDescent="0.25">
      <c r="Q330" s="195"/>
      <c r="R330" s="195"/>
      <c r="S330" s="195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</row>
    <row r="331" spans="17:45" s="54" customFormat="1" x14ac:dyDescent="0.25">
      <c r="Q331" s="195"/>
      <c r="R331" s="195"/>
      <c r="S331" s="195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</row>
    <row r="332" spans="17:45" s="54" customFormat="1" x14ac:dyDescent="0.25">
      <c r="Q332" s="195"/>
      <c r="R332" s="195"/>
      <c r="S332" s="195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</row>
    <row r="333" spans="17:45" s="54" customFormat="1" x14ac:dyDescent="0.25">
      <c r="Q333" s="195"/>
      <c r="R333" s="195"/>
      <c r="S333" s="195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</row>
    <row r="334" spans="17:45" s="54" customFormat="1" x14ac:dyDescent="0.25">
      <c r="Q334" s="195"/>
      <c r="R334" s="195"/>
      <c r="S334" s="195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</row>
    <row r="335" spans="17:45" s="54" customFormat="1" x14ac:dyDescent="0.25">
      <c r="Q335" s="195"/>
      <c r="R335" s="195"/>
      <c r="S335" s="195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</row>
    <row r="336" spans="17:45" s="54" customFormat="1" x14ac:dyDescent="0.25">
      <c r="Q336" s="195"/>
      <c r="R336" s="195"/>
      <c r="S336" s="195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</row>
    <row r="337" spans="17:45" s="54" customFormat="1" x14ac:dyDescent="0.25">
      <c r="Q337" s="195"/>
      <c r="R337" s="195"/>
      <c r="S337" s="195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</row>
    <row r="338" spans="17:45" s="54" customFormat="1" x14ac:dyDescent="0.25">
      <c r="Q338" s="195"/>
      <c r="R338" s="195"/>
      <c r="S338" s="195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</row>
    <row r="339" spans="17:45" s="54" customFormat="1" x14ac:dyDescent="0.25">
      <c r="Q339" s="195"/>
      <c r="R339" s="195"/>
      <c r="S339" s="195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</row>
    <row r="340" spans="17:45" s="54" customFormat="1" x14ac:dyDescent="0.25">
      <c r="Q340" s="195"/>
      <c r="R340" s="195"/>
      <c r="S340" s="195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</row>
    <row r="341" spans="17:45" s="54" customFormat="1" x14ac:dyDescent="0.25">
      <c r="Q341" s="195"/>
      <c r="R341" s="195"/>
      <c r="S341" s="195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</row>
    <row r="342" spans="17:45" s="54" customFormat="1" x14ac:dyDescent="0.25">
      <c r="Q342" s="195"/>
      <c r="R342" s="195"/>
      <c r="S342" s="195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</row>
    <row r="343" spans="17:45" s="54" customFormat="1" x14ac:dyDescent="0.25">
      <c r="Q343" s="195"/>
      <c r="R343" s="195"/>
      <c r="S343" s="195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</row>
    <row r="344" spans="17:45" s="54" customFormat="1" x14ac:dyDescent="0.25">
      <c r="Q344" s="195"/>
      <c r="R344" s="195"/>
      <c r="S344" s="195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</row>
    <row r="345" spans="17:45" s="54" customFormat="1" x14ac:dyDescent="0.25">
      <c r="Q345" s="195"/>
      <c r="R345" s="195"/>
      <c r="S345" s="195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</row>
    <row r="346" spans="17:45" s="54" customFormat="1" x14ac:dyDescent="0.25">
      <c r="Q346" s="195"/>
      <c r="R346" s="195"/>
      <c r="S346" s="195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</row>
    <row r="347" spans="17:45" s="54" customFormat="1" x14ac:dyDescent="0.25">
      <c r="Q347" s="195"/>
      <c r="R347" s="195"/>
      <c r="S347" s="195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</row>
    <row r="348" spans="17:45" s="54" customFormat="1" x14ac:dyDescent="0.25">
      <c r="Q348" s="195"/>
      <c r="R348" s="195"/>
      <c r="S348" s="195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</row>
    <row r="349" spans="17:45" s="54" customFormat="1" x14ac:dyDescent="0.25">
      <c r="Q349" s="195"/>
      <c r="R349" s="195"/>
      <c r="S349" s="195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</row>
    <row r="350" spans="17:45" s="54" customFormat="1" x14ac:dyDescent="0.25">
      <c r="Q350" s="195"/>
      <c r="R350" s="195"/>
      <c r="S350" s="195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</row>
    <row r="351" spans="17:45" s="54" customFormat="1" x14ac:dyDescent="0.25">
      <c r="Q351" s="195"/>
      <c r="R351" s="195"/>
      <c r="S351" s="195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</row>
    <row r="352" spans="17:45" s="54" customFormat="1" x14ac:dyDescent="0.25">
      <c r="Q352" s="195"/>
      <c r="R352" s="195"/>
      <c r="S352" s="195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</row>
    <row r="353" spans="17:45" s="54" customFormat="1" x14ac:dyDescent="0.25">
      <c r="Q353" s="195"/>
      <c r="R353" s="195"/>
      <c r="S353" s="195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</row>
    <row r="354" spans="17:45" s="54" customFormat="1" x14ac:dyDescent="0.25">
      <c r="Q354" s="195"/>
      <c r="R354" s="195"/>
      <c r="S354" s="195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</row>
    <row r="355" spans="17:45" s="54" customFormat="1" x14ac:dyDescent="0.25">
      <c r="Q355" s="195"/>
      <c r="R355" s="195"/>
      <c r="S355" s="195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</row>
    <row r="356" spans="17:45" s="54" customFormat="1" x14ac:dyDescent="0.25">
      <c r="Q356" s="195"/>
      <c r="R356" s="195"/>
      <c r="S356" s="195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</row>
    <row r="357" spans="17:45" s="54" customFormat="1" x14ac:dyDescent="0.25">
      <c r="Q357" s="195"/>
      <c r="R357" s="195"/>
      <c r="S357" s="195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</row>
    <row r="358" spans="17:45" s="54" customFormat="1" x14ac:dyDescent="0.25">
      <c r="Q358" s="195"/>
      <c r="R358" s="195"/>
      <c r="S358" s="195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</row>
    <row r="359" spans="17:45" s="54" customFormat="1" x14ac:dyDescent="0.25">
      <c r="Q359" s="195"/>
      <c r="R359" s="195"/>
      <c r="S359" s="195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</row>
    <row r="360" spans="17:45" s="54" customFormat="1" x14ac:dyDescent="0.25">
      <c r="Q360" s="195"/>
      <c r="R360" s="195"/>
      <c r="S360" s="195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</row>
    <row r="361" spans="17:45" s="54" customFormat="1" x14ac:dyDescent="0.25">
      <c r="Q361" s="195"/>
      <c r="R361" s="195"/>
      <c r="S361" s="195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</row>
    <row r="362" spans="17:45" s="54" customFormat="1" x14ac:dyDescent="0.25">
      <c r="Q362" s="195"/>
      <c r="R362" s="195"/>
      <c r="S362" s="195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</row>
    <row r="363" spans="17:45" s="54" customFormat="1" x14ac:dyDescent="0.25">
      <c r="Q363" s="195"/>
      <c r="R363" s="195"/>
      <c r="S363" s="195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</row>
    <row r="364" spans="17:45" s="54" customFormat="1" x14ac:dyDescent="0.25">
      <c r="Q364" s="195"/>
      <c r="R364" s="195"/>
      <c r="S364" s="195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</row>
    <row r="365" spans="17:45" s="54" customFormat="1" x14ac:dyDescent="0.25">
      <c r="Q365" s="195"/>
      <c r="R365" s="195"/>
      <c r="S365" s="195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</row>
    <row r="366" spans="17:45" s="54" customFormat="1" x14ac:dyDescent="0.25">
      <c r="Q366" s="195"/>
      <c r="R366" s="195"/>
      <c r="S366" s="195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</row>
    <row r="367" spans="17:45" s="54" customFormat="1" x14ac:dyDescent="0.25">
      <c r="Q367" s="195"/>
      <c r="R367" s="195"/>
      <c r="S367" s="195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</row>
    <row r="368" spans="17:45" s="54" customFormat="1" x14ac:dyDescent="0.25">
      <c r="Q368" s="195"/>
      <c r="R368" s="195"/>
      <c r="S368" s="195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</row>
    <row r="369" spans="17:45" s="54" customFormat="1" x14ac:dyDescent="0.25">
      <c r="Q369" s="195"/>
      <c r="R369" s="195"/>
      <c r="S369" s="195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</row>
    <row r="370" spans="17:45" s="54" customFormat="1" x14ac:dyDescent="0.25">
      <c r="Q370" s="195"/>
      <c r="R370" s="195"/>
      <c r="S370" s="195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</row>
    <row r="371" spans="17:45" s="54" customFormat="1" x14ac:dyDescent="0.25">
      <c r="Q371" s="195"/>
      <c r="R371" s="195"/>
      <c r="S371" s="195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</row>
    <row r="372" spans="17:45" s="54" customFormat="1" x14ac:dyDescent="0.25">
      <c r="Q372" s="195"/>
      <c r="R372" s="195"/>
      <c r="S372" s="195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</row>
    <row r="373" spans="17:45" s="54" customFormat="1" x14ac:dyDescent="0.25">
      <c r="Q373" s="195"/>
      <c r="R373" s="195"/>
      <c r="S373" s="195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</row>
    <row r="374" spans="17:45" s="54" customFormat="1" x14ac:dyDescent="0.25">
      <c r="Q374" s="195"/>
      <c r="R374" s="195"/>
      <c r="S374" s="195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</row>
    <row r="375" spans="17:45" s="54" customFormat="1" x14ac:dyDescent="0.25">
      <c r="Q375" s="195"/>
      <c r="R375" s="195"/>
      <c r="S375" s="195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</row>
    <row r="376" spans="17:45" s="54" customFormat="1" x14ac:dyDescent="0.25">
      <c r="Q376" s="195"/>
      <c r="R376" s="195"/>
      <c r="S376" s="195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</row>
    <row r="377" spans="17:45" s="54" customFormat="1" x14ac:dyDescent="0.25">
      <c r="Q377" s="195"/>
      <c r="R377" s="195"/>
      <c r="S377" s="195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</row>
    <row r="378" spans="17:45" s="54" customFormat="1" x14ac:dyDescent="0.25">
      <c r="Q378" s="195"/>
      <c r="R378" s="195"/>
      <c r="S378" s="195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</row>
    <row r="379" spans="17:45" s="54" customFormat="1" x14ac:dyDescent="0.25">
      <c r="Q379" s="195"/>
      <c r="R379" s="195"/>
      <c r="S379" s="195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</row>
    <row r="380" spans="17:45" s="54" customFormat="1" x14ac:dyDescent="0.25">
      <c r="Q380" s="195"/>
      <c r="R380" s="195"/>
      <c r="S380" s="195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</row>
    <row r="381" spans="17:45" s="54" customFormat="1" x14ac:dyDescent="0.25">
      <c r="Q381" s="195"/>
      <c r="R381" s="195"/>
      <c r="S381" s="195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</row>
    <row r="382" spans="17:45" s="54" customFormat="1" x14ac:dyDescent="0.25">
      <c r="Q382" s="195"/>
      <c r="R382" s="195"/>
      <c r="S382" s="195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</row>
    <row r="383" spans="17:45" s="54" customFormat="1" x14ac:dyDescent="0.25">
      <c r="Q383" s="195"/>
      <c r="R383" s="195"/>
      <c r="S383" s="195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</row>
    <row r="384" spans="17:45" s="54" customFormat="1" x14ac:dyDescent="0.25">
      <c r="Q384" s="195"/>
      <c r="R384" s="195"/>
      <c r="S384" s="195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</row>
    <row r="385" spans="17:45" s="54" customFormat="1" x14ac:dyDescent="0.25">
      <c r="Q385" s="195"/>
      <c r="R385" s="195"/>
      <c r="S385" s="195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</row>
    <row r="386" spans="17:45" s="54" customFormat="1" x14ac:dyDescent="0.25">
      <c r="Q386" s="195"/>
      <c r="R386" s="195"/>
      <c r="S386" s="195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</row>
    <row r="387" spans="17:45" s="54" customFormat="1" x14ac:dyDescent="0.25">
      <c r="Q387" s="195"/>
      <c r="R387" s="195"/>
      <c r="S387" s="195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</row>
    <row r="388" spans="17:45" s="54" customFormat="1" x14ac:dyDescent="0.25">
      <c r="Q388" s="195"/>
      <c r="R388" s="195"/>
      <c r="S388" s="195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</row>
    <row r="389" spans="17:45" s="54" customFormat="1" x14ac:dyDescent="0.25">
      <c r="Q389" s="195"/>
      <c r="R389" s="195"/>
      <c r="S389" s="195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</row>
    <row r="390" spans="17:45" s="54" customFormat="1" x14ac:dyDescent="0.25">
      <c r="Q390" s="195"/>
      <c r="R390" s="195"/>
      <c r="S390" s="195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</row>
    <row r="391" spans="17:45" s="54" customFormat="1" x14ac:dyDescent="0.25">
      <c r="Q391" s="195"/>
      <c r="R391" s="195"/>
      <c r="S391" s="195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</row>
    <row r="392" spans="17:45" s="54" customFormat="1" x14ac:dyDescent="0.25">
      <c r="Q392" s="195"/>
      <c r="R392" s="195"/>
      <c r="S392" s="195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</row>
    <row r="393" spans="17:45" s="54" customFormat="1" x14ac:dyDescent="0.25">
      <c r="Q393" s="195"/>
      <c r="R393" s="195"/>
      <c r="S393" s="195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</row>
    <row r="394" spans="17:45" s="54" customFormat="1" x14ac:dyDescent="0.25">
      <c r="Q394" s="195"/>
      <c r="R394" s="195"/>
      <c r="S394" s="195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</row>
    <row r="395" spans="17:45" s="54" customFormat="1" x14ac:dyDescent="0.25">
      <c r="Q395" s="195"/>
      <c r="R395" s="195"/>
      <c r="S395" s="195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</row>
    <row r="396" spans="17:45" s="54" customFormat="1" x14ac:dyDescent="0.25">
      <c r="Q396" s="195"/>
      <c r="R396" s="195"/>
      <c r="S396" s="195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</row>
    <row r="397" spans="17:45" s="54" customFormat="1" x14ac:dyDescent="0.25">
      <c r="Q397" s="195"/>
      <c r="R397" s="195"/>
      <c r="S397" s="195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</row>
    <row r="398" spans="17:45" s="54" customFormat="1" x14ac:dyDescent="0.25">
      <c r="Q398" s="195"/>
      <c r="R398" s="195"/>
      <c r="S398" s="195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</row>
    <row r="399" spans="17:45" s="54" customFormat="1" x14ac:dyDescent="0.25">
      <c r="Q399" s="195"/>
      <c r="R399" s="195"/>
      <c r="S399" s="195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</row>
    <row r="400" spans="17:45" s="54" customFormat="1" x14ac:dyDescent="0.25">
      <c r="Q400" s="195"/>
      <c r="R400" s="195"/>
      <c r="S400" s="195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</row>
    <row r="401" spans="17:45" s="54" customFormat="1" x14ac:dyDescent="0.25">
      <c r="Q401" s="195"/>
      <c r="R401" s="195"/>
      <c r="S401" s="195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</row>
    <row r="402" spans="17:45" s="54" customFormat="1" x14ac:dyDescent="0.25">
      <c r="Q402" s="195"/>
      <c r="R402" s="195"/>
      <c r="S402" s="195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</row>
    <row r="403" spans="17:45" s="54" customFormat="1" x14ac:dyDescent="0.25">
      <c r="Q403" s="195"/>
      <c r="R403" s="195"/>
      <c r="S403" s="195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</row>
    <row r="404" spans="17:45" s="54" customFormat="1" x14ac:dyDescent="0.25">
      <c r="Q404" s="195"/>
      <c r="R404" s="195"/>
      <c r="S404" s="195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</row>
    <row r="405" spans="17:45" s="54" customFormat="1" x14ac:dyDescent="0.25">
      <c r="Q405" s="195"/>
      <c r="R405" s="195"/>
      <c r="S405" s="195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</row>
    <row r="406" spans="17:45" s="54" customFormat="1" x14ac:dyDescent="0.25">
      <c r="Q406" s="195"/>
      <c r="R406" s="195"/>
      <c r="S406" s="195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</row>
    <row r="407" spans="17:45" s="54" customFormat="1" x14ac:dyDescent="0.25">
      <c r="Q407" s="195"/>
      <c r="R407" s="195"/>
      <c r="S407" s="195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</row>
    <row r="408" spans="17:45" s="54" customFormat="1" x14ac:dyDescent="0.25">
      <c r="Q408" s="195"/>
      <c r="R408" s="195"/>
      <c r="S408" s="195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</row>
    <row r="409" spans="17:45" s="54" customFormat="1" x14ac:dyDescent="0.25">
      <c r="Q409" s="195"/>
      <c r="R409" s="195"/>
      <c r="S409" s="195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</row>
    <row r="410" spans="17:45" s="54" customFormat="1" x14ac:dyDescent="0.25">
      <c r="Q410" s="195"/>
      <c r="R410" s="195"/>
      <c r="S410" s="195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</row>
    <row r="411" spans="17:45" s="54" customFormat="1" x14ac:dyDescent="0.25">
      <c r="Q411" s="195"/>
      <c r="R411" s="195"/>
      <c r="S411" s="195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</row>
    <row r="412" spans="17:45" s="54" customFormat="1" x14ac:dyDescent="0.25">
      <c r="Q412" s="195"/>
      <c r="R412" s="195"/>
      <c r="S412" s="195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</row>
    <row r="413" spans="17:45" s="54" customFormat="1" x14ac:dyDescent="0.25">
      <c r="Q413" s="195"/>
      <c r="R413" s="195"/>
      <c r="S413" s="195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</row>
    <row r="414" spans="17:45" s="54" customFormat="1" x14ac:dyDescent="0.25">
      <c r="Q414" s="195"/>
      <c r="R414" s="195"/>
      <c r="S414" s="195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</row>
    <row r="415" spans="17:45" s="54" customFormat="1" x14ac:dyDescent="0.25">
      <c r="Q415" s="195"/>
      <c r="R415" s="195"/>
      <c r="S415" s="195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</row>
    <row r="416" spans="17:45" s="54" customFormat="1" x14ac:dyDescent="0.25">
      <c r="Q416" s="195"/>
      <c r="R416" s="195"/>
      <c r="S416" s="195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</row>
    <row r="417" spans="17:45" s="54" customFormat="1" x14ac:dyDescent="0.25">
      <c r="Q417" s="195"/>
      <c r="R417" s="195"/>
      <c r="S417" s="195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</row>
    <row r="418" spans="17:45" s="54" customFormat="1" x14ac:dyDescent="0.25">
      <c r="Q418" s="195"/>
      <c r="R418" s="195"/>
      <c r="S418" s="195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</row>
    <row r="419" spans="17:45" s="54" customFormat="1" x14ac:dyDescent="0.25">
      <c r="Q419" s="195"/>
      <c r="R419" s="195"/>
      <c r="S419" s="195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</row>
    <row r="420" spans="17:45" s="54" customFormat="1" x14ac:dyDescent="0.25">
      <c r="Q420" s="195"/>
      <c r="R420" s="195"/>
      <c r="S420" s="195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</row>
    <row r="421" spans="17:45" s="54" customFormat="1" x14ac:dyDescent="0.25">
      <c r="Q421" s="195"/>
      <c r="R421" s="195"/>
      <c r="S421" s="195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</row>
    <row r="422" spans="17:45" s="54" customFormat="1" x14ac:dyDescent="0.25">
      <c r="Q422" s="195"/>
      <c r="R422" s="195"/>
      <c r="S422" s="195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</row>
    <row r="423" spans="17:45" s="54" customFormat="1" x14ac:dyDescent="0.25">
      <c r="Q423" s="195"/>
      <c r="R423" s="195"/>
      <c r="S423" s="195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</row>
    <row r="424" spans="17:45" s="54" customFormat="1" x14ac:dyDescent="0.25">
      <c r="Q424" s="195"/>
      <c r="R424" s="195"/>
      <c r="S424" s="195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</row>
    <row r="425" spans="17:45" s="54" customFormat="1" x14ac:dyDescent="0.25">
      <c r="Q425" s="195"/>
      <c r="R425" s="195"/>
      <c r="S425" s="195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</row>
    <row r="426" spans="17:45" s="54" customFormat="1" x14ac:dyDescent="0.25">
      <c r="Q426" s="195"/>
      <c r="R426" s="195"/>
      <c r="S426" s="195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</row>
    <row r="427" spans="17:45" s="54" customFormat="1" x14ac:dyDescent="0.25">
      <c r="Q427" s="195"/>
      <c r="R427" s="195"/>
      <c r="S427" s="195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</row>
    <row r="428" spans="17:45" s="54" customFormat="1" x14ac:dyDescent="0.25">
      <c r="Q428" s="195"/>
      <c r="R428" s="195"/>
      <c r="S428" s="195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</row>
    <row r="429" spans="17:45" s="54" customFormat="1" x14ac:dyDescent="0.25">
      <c r="Q429" s="195"/>
      <c r="R429" s="195"/>
      <c r="S429" s="195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</row>
    <row r="430" spans="17:45" s="54" customFormat="1" x14ac:dyDescent="0.25">
      <c r="Q430" s="195"/>
      <c r="R430" s="195"/>
      <c r="S430" s="195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</row>
    <row r="431" spans="17:45" s="54" customFormat="1" x14ac:dyDescent="0.25">
      <c r="Q431" s="195"/>
      <c r="R431" s="195"/>
      <c r="S431" s="195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</row>
    <row r="432" spans="17:45" s="54" customFormat="1" x14ac:dyDescent="0.25">
      <c r="Q432" s="195"/>
      <c r="R432" s="195"/>
      <c r="S432" s="195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</row>
    <row r="433" spans="17:45" s="54" customFormat="1" x14ac:dyDescent="0.25">
      <c r="Q433" s="195"/>
      <c r="R433" s="195"/>
      <c r="S433" s="195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</row>
    <row r="434" spans="17:45" s="54" customFormat="1" x14ac:dyDescent="0.25">
      <c r="Q434" s="195"/>
      <c r="R434" s="195"/>
      <c r="S434" s="195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</row>
    <row r="435" spans="17:45" s="54" customFormat="1" x14ac:dyDescent="0.25">
      <c r="Q435" s="195"/>
      <c r="R435" s="195"/>
      <c r="S435" s="195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</row>
    <row r="436" spans="17:45" s="54" customFormat="1" x14ac:dyDescent="0.25">
      <c r="Q436" s="195"/>
      <c r="R436" s="195"/>
      <c r="S436" s="195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</row>
    <row r="437" spans="17:45" s="54" customFormat="1" x14ac:dyDescent="0.25">
      <c r="Q437" s="195"/>
      <c r="R437" s="195"/>
      <c r="S437" s="195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</row>
    <row r="438" spans="17:45" s="54" customFormat="1" x14ac:dyDescent="0.25">
      <c r="Q438" s="195"/>
      <c r="R438" s="195"/>
      <c r="S438" s="195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</row>
    <row r="439" spans="17:45" s="54" customFormat="1" x14ac:dyDescent="0.25">
      <c r="Q439" s="195"/>
      <c r="R439" s="195"/>
      <c r="S439" s="195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</row>
    <row r="440" spans="17:45" s="54" customFormat="1" x14ac:dyDescent="0.25">
      <c r="Q440" s="195"/>
      <c r="R440" s="195"/>
      <c r="S440" s="195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</row>
    <row r="441" spans="17:45" s="54" customFormat="1" x14ac:dyDescent="0.25">
      <c r="Q441" s="195"/>
      <c r="R441" s="195"/>
      <c r="S441" s="195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</row>
    <row r="442" spans="17:45" s="54" customFormat="1" x14ac:dyDescent="0.25">
      <c r="Q442" s="195"/>
      <c r="R442" s="195"/>
      <c r="S442" s="195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</row>
    <row r="443" spans="17:45" s="54" customFormat="1" x14ac:dyDescent="0.25">
      <c r="Q443" s="195"/>
      <c r="R443" s="195"/>
      <c r="S443" s="195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</row>
    <row r="444" spans="17:45" s="54" customFormat="1" x14ac:dyDescent="0.25">
      <c r="Q444" s="195"/>
      <c r="R444" s="195"/>
      <c r="S444" s="195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</row>
    <row r="445" spans="17:45" s="54" customFormat="1" x14ac:dyDescent="0.25">
      <c r="Q445" s="195"/>
      <c r="R445" s="195"/>
      <c r="S445" s="195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</row>
    <row r="446" spans="17:45" s="54" customFormat="1" x14ac:dyDescent="0.25">
      <c r="Q446" s="195"/>
      <c r="R446" s="195"/>
      <c r="S446" s="195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</row>
    <row r="447" spans="17:45" s="54" customFormat="1" x14ac:dyDescent="0.25">
      <c r="Q447" s="195"/>
      <c r="R447" s="195"/>
      <c r="S447" s="195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</row>
    <row r="448" spans="17:45" s="54" customFormat="1" x14ac:dyDescent="0.25">
      <c r="Q448" s="195"/>
      <c r="R448" s="195"/>
      <c r="S448" s="195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</row>
    <row r="449" spans="17:45" s="54" customFormat="1" x14ac:dyDescent="0.25">
      <c r="Q449" s="195"/>
      <c r="R449" s="195"/>
      <c r="S449" s="195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</row>
    <row r="450" spans="17:45" s="54" customFormat="1" x14ac:dyDescent="0.25">
      <c r="Q450" s="195"/>
      <c r="R450" s="195"/>
      <c r="S450" s="195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</row>
    <row r="451" spans="17:45" s="54" customFormat="1" x14ac:dyDescent="0.25">
      <c r="Q451" s="195"/>
      <c r="R451" s="195"/>
      <c r="S451" s="195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</row>
    <row r="452" spans="17:45" s="54" customFormat="1" x14ac:dyDescent="0.25">
      <c r="Q452" s="195"/>
      <c r="R452" s="195"/>
      <c r="S452" s="195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</row>
    <row r="453" spans="17:45" s="54" customFormat="1" x14ac:dyDescent="0.25">
      <c r="Q453" s="195"/>
      <c r="R453" s="195"/>
      <c r="S453" s="195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</row>
    <row r="454" spans="17:45" s="54" customFormat="1" x14ac:dyDescent="0.25">
      <c r="Q454" s="195"/>
      <c r="R454" s="195"/>
      <c r="S454" s="195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</row>
    <row r="455" spans="17:45" s="54" customFormat="1" x14ac:dyDescent="0.25">
      <c r="Q455" s="195"/>
      <c r="R455" s="195"/>
      <c r="S455" s="195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</row>
    <row r="456" spans="17:45" s="54" customFormat="1" x14ac:dyDescent="0.25">
      <c r="Q456" s="195"/>
      <c r="R456" s="195"/>
      <c r="S456" s="195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</row>
    <row r="457" spans="17:45" s="54" customFormat="1" x14ac:dyDescent="0.25">
      <c r="Q457" s="195"/>
      <c r="R457" s="195"/>
      <c r="S457" s="195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</row>
    <row r="458" spans="17:45" s="54" customFormat="1" x14ac:dyDescent="0.25">
      <c r="Q458" s="195"/>
      <c r="R458" s="195"/>
      <c r="S458" s="195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  <c r="AQ458" s="90"/>
      <c r="AR458" s="90"/>
      <c r="AS458" s="90"/>
    </row>
    <row r="459" spans="17:45" s="54" customFormat="1" x14ac:dyDescent="0.25">
      <c r="Q459" s="195"/>
      <c r="R459" s="195"/>
      <c r="S459" s="195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</row>
    <row r="460" spans="17:45" s="54" customFormat="1" x14ac:dyDescent="0.25">
      <c r="Q460" s="195"/>
      <c r="R460" s="195"/>
      <c r="S460" s="195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  <c r="AQ460" s="90"/>
      <c r="AR460" s="90"/>
      <c r="AS460" s="90"/>
    </row>
    <row r="461" spans="17:45" s="54" customFormat="1" x14ac:dyDescent="0.25">
      <c r="Q461" s="195"/>
      <c r="R461" s="195"/>
      <c r="S461" s="195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</row>
    <row r="462" spans="17:45" s="54" customFormat="1" x14ac:dyDescent="0.25">
      <c r="Q462" s="195"/>
      <c r="R462" s="195"/>
      <c r="S462" s="195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  <c r="AQ462" s="90"/>
      <c r="AR462" s="90"/>
      <c r="AS462" s="90"/>
    </row>
    <row r="463" spans="17:45" s="54" customFormat="1" x14ac:dyDescent="0.25">
      <c r="Q463" s="195"/>
      <c r="R463" s="195"/>
      <c r="S463" s="195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</row>
  </sheetData>
  <autoFilter ref="A14:BN57" xr:uid="{F7A3F68B-79C7-4007-88D2-793DC94C2922}"/>
  <mergeCells count="15">
    <mergeCell ref="L13:P13"/>
    <mergeCell ref="Q13:S13"/>
    <mergeCell ref="D60:H60"/>
    <mergeCell ref="L60:O60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22">
    <cfRule type="expression" priority="1" stopIfTrue="1">
      <formula>#REF!</formula>
    </cfRule>
  </conditionalFormatting>
  <conditionalFormatting sqref="C24:C29">
    <cfRule type="expression" priority="9" stopIfTrue="1">
      <formula>#REF!</formula>
    </cfRule>
  </conditionalFormatting>
  <conditionalFormatting sqref="C31:C36">
    <cfRule type="expression" priority="3" stopIfTrue="1">
      <formula>#REF!</formula>
    </cfRule>
  </conditionalFormatting>
  <conditionalFormatting sqref="C39:C46">
    <cfRule type="expression" priority="5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90246-0DC8-4EC2-A3A7-2D731BA2BC82}">
  <sheetPr>
    <tabColor rgb="FF00B050"/>
    <pageSetUpPr fitToPage="1"/>
  </sheetPr>
  <dimension ref="A1:BO500"/>
  <sheetViews>
    <sheetView showZeros="0" topLeftCell="A80" zoomScale="90" zoomScaleNormal="90" workbookViewId="0">
      <selection activeCell="G93" sqref="G15:Q93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4" width="10.7109375" style="4" customWidth="1"/>
    <col min="5" max="8" width="8.28515625" style="4" customWidth="1"/>
    <col min="9" max="16" width="10.7109375" style="4" customWidth="1"/>
    <col min="17" max="17" width="13.28515625" style="4" customWidth="1"/>
    <col min="18" max="20" width="5.7109375" style="175" customWidth="1" outlineLevel="1"/>
    <col min="21" max="23" width="10.7109375" style="90" customWidth="1" outlineLevel="1"/>
    <col min="24" max="44" width="10.7109375" style="90" customWidth="1"/>
    <col min="45" max="46" width="8.85546875" style="90"/>
    <col min="47" max="67" width="8.85546875" style="54"/>
    <col min="68" max="16384" width="8.85546875" style="4"/>
  </cols>
  <sheetData>
    <row r="1" spans="1:20" ht="15" x14ac:dyDescent="0.2">
      <c r="A1" s="408" t="s">
        <v>625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</row>
    <row r="2" spans="1:20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0" ht="15" x14ac:dyDescent="0.2">
      <c r="A3" s="409" t="str">
        <f>Kopsavilkums!C29</f>
        <v>Elektroapgāde (iekšējā) - EL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</row>
    <row r="4" spans="1:20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</row>
    <row r="5" spans="1:20" x14ac:dyDescent="0.2">
      <c r="A5" s="5"/>
      <c r="B5" s="5"/>
      <c r="C5" s="5"/>
      <c r="D5" s="6"/>
      <c r="E5" s="6"/>
      <c r="F5" s="6"/>
      <c r="G5" s="6"/>
      <c r="H5" s="6"/>
      <c r="I5" s="7"/>
      <c r="J5" s="7"/>
      <c r="K5" s="7"/>
      <c r="L5" s="7"/>
      <c r="M5" s="7"/>
      <c r="N5" s="7"/>
      <c r="O5" s="7"/>
      <c r="P5" s="7"/>
      <c r="Q5" s="7"/>
    </row>
    <row r="6" spans="1:20" x14ac:dyDescent="0.2">
      <c r="A6" s="1" t="s">
        <v>64</v>
      </c>
      <c r="B6" s="8"/>
      <c r="C6" s="9"/>
      <c r="D6" s="10"/>
      <c r="E6" s="10"/>
      <c r="F6" s="5"/>
      <c r="G6" s="10"/>
      <c r="H6" s="10"/>
      <c r="I6" s="11"/>
      <c r="J6" s="11"/>
      <c r="K6" s="11"/>
      <c r="L6" s="11"/>
      <c r="M6" s="11"/>
      <c r="N6" s="11"/>
      <c r="O6" s="11"/>
      <c r="P6" s="11"/>
      <c r="Q6" s="11"/>
    </row>
    <row r="7" spans="1:20" x14ac:dyDescent="0.2">
      <c r="A7" s="1" t="s">
        <v>65</v>
      </c>
      <c r="B7" s="8"/>
      <c r="C7" s="12"/>
      <c r="D7" s="10"/>
      <c r="E7" s="10"/>
      <c r="F7" s="5"/>
      <c r="G7" s="10"/>
      <c r="H7" s="10"/>
      <c r="I7" s="11"/>
      <c r="J7" s="13"/>
      <c r="K7" s="11"/>
      <c r="L7" s="11"/>
      <c r="M7" s="11"/>
      <c r="N7" s="11"/>
      <c r="O7" s="11"/>
      <c r="P7" s="11"/>
      <c r="Q7" s="11"/>
    </row>
    <row r="8" spans="1:20" x14ac:dyDescent="0.2">
      <c r="A8" s="2" t="s">
        <v>66</v>
      </c>
      <c r="B8" s="8"/>
      <c r="C8" s="12"/>
      <c r="D8" s="10"/>
      <c r="E8" s="10"/>
      <c r="F8" s="5"/>
      <c r="G8" s="10"/>
      <c r="H8" s="10"/>
      <c r="I8" s="11"/>
      <c r="J8" s="13"/>
      <c r="K8" s="11"/>
      <c r="L8" s="11"/>
      <c r="M8" s="11"/>
      <c r="N8" s="11"/>
      <c r="O8" s="11"/>
      <c r="P8" s="11"/>
      <c r="Q8" s="11"/>
    </row>
    <row r="9" spans="1:20" x14ac:dyDescent="0.2">
      <c r="A9" s="1" t="s">
        <v>54</v>
      </c>
      <c r="B9" s="8"/>
      <c r="C9" s="8"/>
      <c r="D9" s="10"/>
      <c r="E9" s="10"/>
      <c r="F9" s="14"/>
      <c r="G9" s="10"/>
      <c r="H9" s="10"/>
      <c r="I9" s="5"/>
      <c r="J9" s="15"/>
      <c r="K9" s="5"/>
      <c r="L9" s="16"/>
      <c r="M9" s="11"/>
      <c r="N9" s="11"/>
      <c r="O9" s="11"/>
      <c r="P9" s="17" t="s">
        <v>0</v>
      </c>
      <c r="Q9" s="18">
        <f>Q94</f>
        <v>0</v>
      </c>
    </row>
    <row r="10" spans="1:20" ht="4.9000000000000004" customHeight="1" x14ac:dyDescent="0.2">
      <c r="A10" s="8"/>
      <c r="B10" s="8"/>
      <c r="C10" s="8"/>
      <c r="D10" s="10"/>
      <c r="E10" s="10"/>
      <c r="F10" s="10"/>
      <c r="G10" s="10"/>
      <c r="H10" s="10"/>
      <c r="I10" s="5"/>
      <c r="J10" s="15"/>
      <c r="K10" s="5"/>
      <c r="L10" s="19"/>
      <c r="M10" s="11"/>
      <c r="N10" s="11"/>
      <c r="O10" s="11"/>
      <c r="P10" s="11"/>
      <c r="Q10" s="11"/>
    </row>
    <row r="11" spans="1:20" x14ac:dyDescent="0.2">
      <c r="A11" s="107" t="s">
        <v>67</v>
      </c>
      <c r="B11" s="20"/>
      <c r="C11" s="21"/>
      <c r="D11" s="10"/>
      <c r="E11" s="10"/>
      <c r="F11" s="10"/>
      <c r="G11" s="10"/>
      <c r="H11" s="10"/>
      <c r="I11" s="11"/>
      <c r="J11" s="11"/>
      <c r="K11" s="11"/>
      <c r="L11" s="11"/>
      <c r="M11" s="11"/>
      <c r="N11" s="11"/>
      <c r="O11" s="11"/>
      <c r="P11" s="11"/>
      <c r="Q11" s="22" t="str">
        <f>Kopsavilkums!H$9</f>
        <v xml:space="preserve">Tāme sastādīta: </v>
      </c>
    </row>
    <row r="12" spans="1:20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3"/>
      <c r="I12" s="24"/>
      <c r="J12" s="24"/>
      <c r="K12" s="24"/>
      <c r="L12" s="24"/>
      <c r="M12" s="24"/>
      <c r="N12" s="24"/>
      <c r="O12" s="24"/>
      <c r="P12" s="24"/>
      <c r="Q12" s="24"/>
    </row>
    <row r="13" spans="1:20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47</v>
      </c>
      <c r="E13" s="416" t="s">
        <v>4</v>
      </c>
      <c r="F13" s="418" t="s">
        <v>5</v>
      </c>
      <c r="G13" s="412" t="s">
        <v>6</v>
      </c>
      <c r="H13" s="420" t="s">
        <v>19</v>
      </c>
      <c r="I13" s="404" t="s">
        <v>7</v>
      </c>
      <c r="J13" s="405"/>
      <c r="K13" s="405"/>
      <c r="L13" s="406"/>
      <c r="M13" s="405" t="s">
        <v>8</v>
      </c>
      <c r="N13" s="405"/>
      <c r="O13" s="405"/>
      <c r="P13" s="405"/>
      <c r="Q13" s="406"/>
      <c r="R13" s="403"/>
      <c r="S13" s="403"/>
      <c r="T13" s="403"/>
    </row>
    <row r="14" spans="1:20" ht="34.9" customHeight="1" thickBot="1" x14ac:dyDescent="0.25">
      <c r="A14" s="422"/>
      <c r="B14" s="423"/>
      <c r="C14" s="423"/>
      <c r="D14" s="424"/>
      <c r="E14" s="424"/>
      <c r="F14" s="425"/>
      <c r="G14" s="413"/>
      <c r="H14" s="421"/>
      <c r="I14" s="56" t="s">
        <v>17</v>
      </c>
      <c r="J14" s="60" t="s">
        <v>16</v>
      </c>
      <c r="K14" s="57" t="s">
        <v>15</v>
      </c>
      <c r="L14" s="58" t="s">
        <v>18</v>
      </c>
      <c r="M14" s="58" t="s">
        <v>9</v>
      </c>
      <c r="N14" s="56" t="s">
        <v>17</v>
      </c>
      <c r="O14" s="60" t="s">
        <v>16</v>
      </c>
      <c r="P14" s="57" t="s">
        <v>15</v>
      </c>
      <c r="Q14" s="59" t="s">
        <v>14</v>
      </c>
      <c r="R14" s="196"/>
      <c r="S14" s="196"/>
      <c r="T14" s="196"/>
    </row>
    <row r="15" spans="1:20" x14ac:dyDescent="0.2">
      <c r="A15" s="340"/>
      <c r="B15" s="198"/>
      <c r="C15" s="199" t="str">
        <f>A3</f>
        <v>Elektroapgāde (iekšējā) - EL</v>
      </c>
      <c r="D15" s="200"/>
      <c r="E15" s="201"/>
      <c r="F15" s="202"/>
      <c r="G15" s="119"/>
      <c r="H15" s="61"/>
      <c r="I15" s="26"/>
      <c r="J15" s="27"/>
      <c r="K15" s="27"/>
      <c r="L15" s="25"/>
      <c r="M15" s="25"/>
      <c r="N15" s="26"/>
      <c r="O15" s="27"/>
      <c r="P15" s="28"/>
      <c r="Q15" s="29"/>
      <c r="R15" s="195"/>
      <c r="S15" s="195"/>
      <c r="T15" s="195"/>
    </row>
    <row r="16" spans="1:20" x14ac:dyDescent="0.2">
      <c r="A16" s="341"/>
      <c r="B16" s="121"/>
      <c r="C16" s="132" t="s">
        <v>49</v>
      </c>
      <c r="D16" s="299"/>
      <c r="E16" s="132"/>
      <c r="F16" s="300"/>
      <c r="G16" s="119"/>
      <c r="H16" s="61"/>
      <c r="I16" s="26"/>
      <c r="J16" s="27"/>
      <c r="K16" s="27"/>
      <c r="L16" s="25"/>
      <c r="M16" s="25"/>
      <c r="N16" s="26"/>
      <c r="O16" s="27"/>
      <c r="P16" s="28"/>
      <c r="Q16" s="29"/>
      <c r="R16" s="195"/>
      <c r="S16" s="195"/>
      <c r="T16" s="195"/>
    </row>
    <row r="17" spans="1:20" ht="33.75" x14ac:dyDescent="0.2">
      <c r="A17" s="341">
        <v>1</v>
      </c>
      <c r="B17" s="121"/>
      <c r="C17" s="120" t="s">
        <v>596</v>
      </c>
      <c r="D17" s="123"/>
      <c r="E17" s="121" t="s">
        <v>73</v>
      </c>
      <c r="F17" s="126">
        <v>1</v>
      </c>
      <c r="G17" s="119"/>
      <c r="H17" s="61"/>
      <c r="I17" s="26"/>
      <c r="J17" s="27"/>
      <c r="K17" s="27"/>
      <c r="L17" s="25"/>
      <c r="M17" s="25"/>
      <c r="N17" s="26"/>
      <c r="O17" s="27"/>
      <c r="P17" s="28"/>
      <c r="Q17" s="29"/>
      <c r="R17" s="195"/>
      <c r="S17" s="195"/>
      <c r="T17" s="195"/>
    </row>
    <row r="18" spans="1:20" ht="31.5" x14ac:dyDescent="0.2">
      <c r="A18" s="341">
        <v>2</v>
      </c>
      <c r="B18" s="121"/>
      <c r="C18" s="120" t="s">
        <v>74</v>
      </c>
      <c r="D18" s="123" t="s">
        <v>75</v>
      </c>
      <c r="E18" s="121" t="s">
        <v>73</v>
      </c>
      <c r="F18" s="126">
        <v>1</v>
      </c>
      <c r="G18" s="119"/>
      <c r="H18" s="61"/>
      <c r="I18" s="26"/>
      <c r="J18" s="27"/>
      <c r="K18" s="27"/>
      <c r="L18" s="25"/>
      <c r="M18" s="25"/>
      <c r="N18" s="26"/>
      <c r="O18" s="27"/>
      <c r="P18" s="28"/>
      <c r="Q18" s="29"/>
      <c r="R18" s="195"/>
      <c r="S18" s="195"/>
      <c r="T18" s="195"/>
    </row>
    <row r="19" spans="1:20" ht="31.5" x14ac:dyDescent="0.2">
      <c r="A19" s="341">
        <v>3</v>
      </c>
      <c r="B19" s="121"/>
      <c r="C19" s="120" t="s">
        <v>76</v>
      </c>
      <c r="D19" s="123" t="s">
        <v>75</v>
      </c>
      <c r="E19" s="121" t="s">
        <v>73</v>
      </c>
      <c r="F19" s="126">
        <v>1</v>
      </c>
      <c r="G19" s="119"/>
      <c r="H19" s="61"/>
      <c r="I19" s="26"/>
      <c r="J19" s="27"/>
      <c r="K19" s="27"/>
      <c r="L19" s="25"/>
      <c r="M19" s="25"/>
      <c r="N19" s="26"/>
      <c r="O19" s="27"/>
      <c r="P19" s="28"/>
      <c r="Q19" s="29"/>
    </row>
    <row r="20" spans="1:20" ht="33.75" x14ac:dyDescent="0.2">
      <c r="A20" s="341">
        <v>4</v>
      </c>
      <c r="B20" s="121"/>
      <c r="C20" s="120" t="s">
        <v>77</v>
      </c>
      <c r="D20" s="123" t="s">
        <v>78</v>
      </c>
      <c r="E20" s="121" t="s">
        <v>73</v>
      </c>
      <c r="F20" s="126">
        <v>1</v>
      </c>
      <c r="G20" s="119"/>
      <c r="H20" s="61"/>
      <c r="I20" s="26"/>
      <c r="J20" s="27"/>
      <c r="K20" s="27"/>
      <c r="L20" s="25"/>
      <c r="M20" s="25"/>
      <c r="N20" s="26"/>
      <c r="O20" s="27"/>
      <c r="P20" s="28"/>
      <c r="Q20" s="29"/>
    </row>
    <row r="21" spans="1:20" x14ac:dyDescent="0.2">
      <c r="A21" s="341">
        <v>5</v>
      </c>
      <c r="B21" s="121"/>
      <c r="C21" s="120" t="s">
        <v>79</v>
      </c>
      <c r="D21" s="123"/>
      <c r="E21" s="121" t="s">
        <v>73</v>
      </c>
      <c r="F21" s="126">
        <v>1</v>
      </c>
      <c r="G21" s="119"/>
      <c r="H21" s="61"/>
      <c r="I21" s="26"/>
      <c r="J21" s="27"/>
      <c r="K21" s="27"/>
      <c r="L21" s="25"/>
      <c r="M21" s="25"/>
      <c r="N21" s="26"/>
      <c r="O21" s="27"/>
      <c r="P21" s="28"/>
      <c r="Q21" s="29"/>
    </row>
    <row r="22" spans="1:20" x14ac:dyDescent="0.2">
      <c r="A22" s="341">
        <v>6</v>
      </c>
      <c r="B22" s="121"/>
      <c r="C22" s="120" t="s">
        <v>80</v>
      </c>
      <c r="D22" s="123"/>
      <c r="E22" s="121" t="s">
        <v>73</v>
      </c>
      <c r="F22" s="126">
        <v>1</v>
      </c>
      <c r="G22" s="119"/>
      <c r="H22" s="61"/>
      <c r="I22" s="26"/>
      <c r="J22" s="27"/>
      <c r="K22" s="27"/>
      <c r="L22" s="25"/>
      <c r="M22" s="25"/>
      <c r="N22" s="26"/>
      <c r="O22" s="27"/>
      <c r="P22" s="28"/>
      <c r="Q22" s="29"/>
    </row>
    <row r="23" spans="1:20" x14ac:dyDescent="0.2">
      <c r="A23" s="341"/>
      <c r="B23" s="121"/>
      <c r="C23" s="132" t="s">
        <v>56</v>
      </c>
      <c r="D23" s="123"/>
      <c r="E23" s="121"/>
      <c r="F23" s="126"/>
      <c r="G23" s="119"/>
      <c r="H23" s="61"/>
      <c r="I23" s="26"/>
      <c r="J23" s="27"/>
      <c r="K23" s="27"/>
      <c r="L23" s="25"/>
      <c r="M23" s="25"/>
      <c r="N23" s="26"/>
      <c r="O23" s="27"/>
      <c r="P23" s="28"/>
      <c r="Q23" s="29"/>
    </row>
    <row r="24" spans="1:20" ht="33.75" x14ac:dyDescent="0.2">
      <c r="A24" s="341">
        <v>7</v>
      </c>
      <c r="B24" s="121"/>
      <c r="C24" s="301" t="s">
        <v>81</v>
      </c>
      <c r="D24" s="123"/>
      <c r="E24" s="121" t="s">
        <v>46</v>
      </c>
      <c r="F24" s="126">
        <v>6</v>
      </c>
      <c r="G24" s="119"/>
      <c r="H24" s="61"/>
      <c r="I24" s="26"/>
      <c r="J24" s="27"/>
      <c r="K24" s="27"/>
      <c r="L24" s="25"/>
      <c r="M24" s="25"/>
      <c r="N24" s="26"/>
      <c r="O24" s="27"/>
      <c r="P24" s="28"/>
      <c r="Q24" s="29"/>
    </row>
    <row r="25" spans="1:20" ht="33.75" x14ac:dyDescent="0.2">
      <c r="A25" s="341">
        <v>8</v>
      </c>
      <c r="B25" s="121"/>
      <c r="C25" s="301" t="s">
        <v>82</v>
      </c>
      <c r="D25" s="123" t="s">
        <v>83</v>
      </c>
      <c r="E25" s="121" t="s">
        <v>46</v>
      </c>
      <c r="F25" s="126">
        <v>6</v>
      </c>
      <c r="G25" s="119"/>
      <c r="H25" s="61"/>
      <c r="I25" s="26"/>
      <c r="J25" s="27"/>
      <c r="K25" s="27"/>
      <c r="L25" s="25"/>
      <c r="M25" s="25"/>
      <c r="N25" s="26"/>
      <c r="O25" s="27"/>
      <c r="P25" s="28"/>
      <c r="Q25" s="29"/>
    </row>
    <row r="26" spans="1:20" ht="33.75" x14ac:dyDescent="0.2">
      <c r="A26" s="341">
        <v>9</v>
      </c>
      <c r="B26" s="121"/>
      <c r="C26" s="301" t="s">
        <v>84</v>
      </c>
      <c r="D26" s="123"/>
      <c r="E26" s="121" t="s">
        <v>46</v>
      </c>
      <c r="F26" s="126">
        <v>11</v>
      </c>
      <c r="G26" s="119"/>
      <c r="H26" s="61"/>
      <c r="I26" s="26"/>
      <c r="J26" s="27"/>
      <c r="K26" s="27"/>
      <c r="L26" s="25"/>
      <c r="M26" s="25"/>
      <c r="N26" s="26"/>
      <c r="O26" s="27"/>
      <c r="P26" s="28"/>
      <c r="Q26" s="29"/>
    </row>
    <row r="27" spans="1:20" ht="33.75" x14ac:dyDescent="0.2">
      <c r="A27" s="341">
        <v>10</v>
      </c>
      <c r="B27" s="121"/>
      <c r="C27" s="301" t="s">
        <v>85</v>
      </c>
      <c r="D27" s="123"/>
      <c r="E27" s="121" t="s">
        <v>46</v>
      </c>
      <c r="F27" s="126">
        <v>28</v>
      </c>
      <c r="G27" s="119"/>
      <c r="H27" s="61"/>
      <c r="I27" s="26"/>
      <c r="J27" s="27"/>
      <c r="K27" s="27"/>
      <c r="L27" s="25"/>
      <c r="M27" s="25"/>
      <c r="N27" s="26"/>
      <c r="O27" s="27"/>
      <c r="P27" s="28"/>
      <c r="Q27" s="29"/>
    </row>
    <row r="28" spans="1:20" ht="33.75" x14ac:dyDescent="0.2">
      <c r="A28" s="341">
        <v>11</v>
      </c>
      <c r="B28" s="121"/>
      <c r="C28" s="301" t="s">
        <v>86</v>
      </c>
      <c r="D28" s="123"/>
      <c r="E28" s="121" t="s">
        <v>46</v>
      </c>
      <c r="F28" s="126">
        <v>1</v>
      </c>
      <c r="G28" s="119"/>
      <c r="H28" s="61"/>
      <c r="I28" s="26"/>
      <c r="J28" s="27"/>
      <c r="K28" s="27"/>
      <c r="L28" s="25"/>
      <c r="M28" s="25"/>
      <c r="N28" s="26"/>
      <c r="O28" s="27"/>
      <c r="P28" s="28"/>
      <c r="Q28" s="29"/>
    </row>
    <row r="29" spans="1:20" x14ac:dyDescent="0.2">
      <c r="A29" s="341">
        <v>12</v>
      </c>
      <c r="B29" s="121"/>
      <c r="C29" s="120" t="s">
        <v>80</v>
      </c>
      <c r="D29" s="123"/>
      <c r="E29" s="121" t="s">
        <v>73</v>
      </c>
      <c r="F29" s="126">
        <v>1</v>
      </c>
      <c r="G29" s="119"/>
      <c r="H29" s="61"/>
      <c r="I29" s="26"/>
      <c r="J29" s="27"/>
      <c r="K29" s="27"/>
      <c r="L29" s="25"/>
      <c r="M29" s="25"/>
      <c r="N29" s="26"/>
      <c r="O29" s="27"/>
      <c r="P29" s="28"/>
      <c r="Q29" s="29"/>
    </row>
    <row r="30" spans="1:20" x14ac:dyDescent="0.2">
      <c r="A30" s="341">
        <v>13</v>
      </c>
      <c r="B30" s="121"/>
      <c r="C30" s="132" t="s">
        <v>731</v>
      </c>
      <c r="D30" s="123"/>
      <c r="E30" s="121"/>
      <c r="F30" s="126"/>
      <c r="G30" s="119"/>
      <c r="H30" s="61"/>
      <c r="I30" s="26"/>
      <c r="J30" s="27"/>
      <c r="K30" s="27"/>
      <c r="L30" s="25"/>
      <c r="M30" s="25"/>
      <c r="N30" s="26"/>
      <c r="O30" s="27"/>
      <c r="P30" s="28"/>
      <c r="Q30" s="29"/>
    </row>
    <row r="31" spans="1:20" x14ac:dyDescent="0.2">
      <c r="A31" s="341"/>
      <c r="B31" s="121"/>
      <c r="C31" s="120" t="s">
        <v>732</v>
      </c>
      <c r="D31" s="123"/>
      <c r="E31" s="121" t="s">
        <v>46</v>
      </c>
      <c r="F31" s="126">
        <v>2</v>
      </c>
      <c r="G31" s="119"/>
      <c r="H31" s="61"/>
      <c r="I31" s="26"/>
      <c r="J31" s="27"/>
      <c r="K31" s="27"/>
      <c r="L31" s="25"/>
      <c r="M31" s="25"/>
      <c r="N31" s="26"/>
      <c r="O31" s="27"/>
      <c r="P31" s="28"/>
      <c r="Q31" s="29"/>
    </row>
    <row r="32" spans="1:20" x14ac:dyDescent="0.2">
      <c r="A32" s="341"/>
      <c r="B32" s="121"/>
      <c r="C32" s="132" t="s">
        <v>87</v>
      </c>
      <c r="D32" s="123"/>
      <c r="E32" s="121"/>
      <c r="F32" s="126"/>
      <c r="G32" s="119"/>
      <c r="H32" s="61"/>
      <c r="I32" s="26"/>
      <c r="J32" s="27"/>
      <c r="K32" s="27"/>
      <c r="L32" s="25"/>
      <c r="M32" s="25"/>
      <c r="N32" s="26"/>
      <c r="O32" s="27"/>
      <c r="P32" s="28"/>
      <c r="Q32" s="29"/>
    </row>
    <row r="33" spans="1:17" x14ac:dyDescent="0.2">
      <c r="A33" s="341">
        <v>14</v>
      </c>
      <c r="B33" s="121"/>
      <c r="C33" s="120" t="s">
        <v>602</v>
      </c>
      <c r="D33" s="123"/>
      <c r="E33" s="121" t="s">
        <v>46</v>
      </c>
      <c r="F33" s="126">
        <v>7</v>
      </c>
      <c r="G33" s="119"/>
      <c r="H33" s="61"/>
      <c r="I33" s="26"/>
      <c r="J33" s="27"/>
      <c r="K33" s="27"/>
      <c r="L33" s="25"/>
      <c r="M33" s="25"/>
      <c r="N33" s="26"/>
      <c r="O33" s="27"/>
      <c r="P33" s="28"/>
      <c r="Q33" s="29"/>
    </row>
    <row r="34" spans="1:17" x14ac:dyDescent="0.2">
      <c r="A34" s="341">
        <v>15</v>
      </c>
      <c r="B34" s="121"/>
      <c r="C34" s="120" t="s">
        <v>128</v>
      </c>
      <c r="D34" s="123"/>
      <c r="E34" s="121" t="s">
        <v>46</v>
      </c>
      <c r="F34" s="126">
        <v>2</v>
      </c>
      <c r="G34" s="119"/>
      <c r="H34" s="61"/>
      <c r="I34" s="26"/>
      <c r="J34" s="27"/>
      <c r="K34" s="27"/>
      <c r="L34" s="25"/>
      <c r="M34" s="25"/>
      <c r="N34" s="26"/>
      <c r="O34" s="27"/>
      <c r="P34" s="28"/>
      <c r="Q34" s="29"/>
    </row>
    <row r="35" spans="1:17" ht="33.75" x14ac:dyDescent="0.2">
      <c r="A35" s="341">
        <v>16</v>
      </c>
      <c r="B35" s="121"/>
      <c r="C35" s="120" t="s">
        <v>603</v>
      </c>
      <c r="D35" s="123"/>
      <c r="E35" s="121" t="s">
        <v>46</v>
      </c>
      <c r="F35" s="126">
        <v>7</v>
      </c>
      <c r="G35" s="119"/>
      <c r="H35" s="61"/>
      <c r="I35" s="26"/>
      <c r="J35" s="27"/>
      <c r="K35" s="27"/>
      <c r="L35" s="25"/>
      <c r="M35" s="25"/>
      <c r="N35" s="26"/>
      <c r="O35" s="27"/>
      <c r="P35" s="28"/>
      <c r="Q35" s="29"/>
    </row>
    <row r="36" spans="1:17" x14ac:dyDescent="0.2">
      <c r="A36" s="341">
        <v>17</v>
      </c>
      <c r="B36" s="121"/>
      <c r="C36" s="120" t="s">
        <v>600</v>
      </c>
      <c r="D36" s="123"/>
      <c r="E36" s="121" t="s">
        <v>73</v>
      </c>
      <c r="F36" s="126">
        <v>3</v>
      </c>
      <c r="G36" s="119"/>
      <c r="H36" s="61"/>
      <c r="I36" s="26"/>
      <c r="J36" s="27"/>
      <c r="K36" s="27"/>
      <c r="L36" s="25"/>
      <c r="M36" s="25"/>
      <c r="N36" s="26"/>
      <c r="O36" s="27"/>
      <c r="P36" s="28"/>
      <c r="Q36" s="29"/>
    </row>
    <row r="37" spans="1:17" x14ac:dyDescent="0.2">
      <c r="A37" s="341">
        <v>18</v>
      </c>
      <c r="B37" s="121"/>
      <c r="C37" s="120" t="s">
        <v>601</v>
      </c>
      <c r="D37" s="123"/>
      <c r="E37" s="121" t="s">
        <v>73</v>
      </c>
      <c r="F37" s="126">
        <v>2</v>
      </c>
      <c r="G37" s="119"/>
      <c r="H37" s="61"/>
      <c r="I37" s="26"/>
      <c r="J37" s="27"/>
      <c r="K37" s="27"/>
      <c r="L37" s="25"/>
      <c r="M37" s="25"/>
      <c r="N37" s="26"/>
      <c r="O37" s="27"/>
      <c r="P37" s="28"/>
      <c r="Q37" s="29"/>
    </row>
    <row r="38" spans="1:17" x14ac:dyDescent="0.2">
      <c r="A38" s="341">
        <v>19</v>
      </c>
      <c r="B38" s="121"/>
      <c r="C38" s="120" t="s">
        <v>597</v>
      </c>
      <c r="D38" s="123"/>
      <c r="E38" s="121" t="s">
        <v>46</v>
      </c>
      <c r="F38" s="126">
        <v>2</v>
      </c>
      <c r="G38" s="119"/>
      <c r="H38" s="61"/>
      <c r="I38" s="26"/>
      <c r="J38" s="27"/>
      <c r="K38" s="27"/>
      <c r="L38" s="25"/>
      <c r="M38" s="25"/>
      <c r="N38" s="26"/>
      <c r="O38" s="27"/>
      <c r="P38" s="28"/>
      <c r="Q38" s="29"/>
    </row>
    <row r="39" spans="1:17" x14ac:dyDescent="0.2">
      <c r="A39" s="341">
        <v>20</v>
      </c>
      <c r="B39" s="121"/>
      <c r="C39" s="120" t="s">
        <v>598</v>
      </c>
      <c r="D39" s="123"/>
      <c r="E39" s="121" t="s">
        <v>46</v>
      </c>
      <c r="F39" s="126">
        <v>1</v>
      </c>
      <c r="G39" s="119"/>
      <c r="H39" s="61"/>
      <c r="I39" s="26"/>
      <c r="J39" s="27"/>
      <c r="K39" s="27"/>
      <c r="L39" s="25"/>
      <c r="M39" s="25"/>
      <c r="N39" s="26"/>
      <c r="O39" s="27"/>
      <c r="P39" s="28"/>
      <c r="Q39" s="29"/>
    </row>
    <row r="40" spans="1:17" x14ac:dyDescent="0.2">
      <c r="A40" s="341">
        <v>21</v>
      </c>
      <c r="B40" s="121"/>
      <c r="C40" s="120" t="s">
        <v>599</v>
      </c>
      <c r="D40" s="123"/>
      <c r="E40" s="121" t="s">
        <v>46</v>
      </c>
      <c r="F40" s="126">
        <v>12</v>
      </c>
      <c r="G40" s="119"/>
      <c r="H40" s="61"/>
      <c r="I40" s="26"/>
      <c r="J40" s="27"/>
      <c r="K40" s="27"/>
      <c r="L40" s="25"/>
      <c r="M40" s="25"/>
      <c r="N40" s="26"/>
      <c r="O40" s="27"/>
      <c r="P40" s="28"/>
      <c r="Q40" s="29"/>
    </row>
    <row r="41" spans="1:17" x14ac:dyDescent="0.2">
      <c r="A41" s="341">
        <v>22</v>
      </c>
      <c r="B41" s="121"/>
      <c r="C41" s="287" t="s">
        <v>88</v>
      </c>
      <c r="D41" s="123"/>
      <c r="E41" s="121" t="s">
        <v>73</v>
      </c>
      <c r="F41" s="126">
        <v>20</v>
      </c>
      <c r="G41" s="119"/>
      <c r="H41" s="61"/>
      <c r="I41" s="26"/>
      <c r="J41" s="27"/>
      <c r="K41" s="27"/>
      <c r="L41" s="25"/>
      <c r="M41" s="25"/>
      <c r="N41" s="26"/>
      <c r="O41" s="27"/>
      <c r="P41" s="28"/>
      <c r="Q41" s="29"/>
    </row>
    <row r="42" spans="1:17" x14ac:dyDescent="0.2">
      <c r="A42" s="341">
        <v>23</v>
      </c>
      <c r="B42" s="121"/>
      <c r="C42" s="120" t="s">
        <v>80</v>
      </c>
      <c r="D42" s="123"/>
      <c r="E42" s="121" t="s">
        <v>73</v>
      </c>
      <c r="F42" s="126">
        <v>1</v>
      </c>
      <c r="G42" s="119"/>
      <c r="H42" s="61"/>
      <c r="I42" s="26"/>
      <c r="J42" s="27"/>
      <c r="K42" s="27"/>
      <c r="L42" s="25"/>
      <c r="M42" s="25"/>
      <c r="N42" s="26"/>
      <c r="O42" s="27"/>
      <c r="P42" s="28"/>
      <c r="Q42" s="29"/>
    </row>
    <row r="43" spans="1:17" x14ac:dyDescent="0.2">
      <c r="A43" s="341"/>
      <c r="B43" s="121"/>
      <c r="C43" s="132" t="s">
        <v>89</v>
      </c>
      <c r="D43" s="123"/>
      <c r="E43" s="121"/>
      <c r="F43" s="126"/>
      <c r="G43" s="119"/>
      <c r="H43" s="61"/>
      <c r="I43" s="26"/>
      <c r="J43" s="27"/>
      <c r="K43" s="27"/>
      <c r="L43" s="25"/>
      <c r="M43" s="25"/>
      <c r="N43" s="26"/>
      <c r="O43" s="27"/>
      <c r="P43" s="28"/>
      <c r="Q43" s="29"/>
    </row>
    <row r="44" spans="1:17" x14ac:dyDescent="0.2">
      <c r="A44" s="341">
        <v>24</v>
      </c>
      <c r="B44" s="121"/>
      <c r="C44" s="120" t="s">
        <v>90</v>
      </c>
      <c r="D44" s="123"/>
      <c r="E44" s="121" t="s">
        <v>91</v>
      </c>
      <c r="F44" s="126">
        <v>400</v>
      </c>
      <c r="G44" s="119"/>
      <c r="H44" s="61"/>
      <c r="I44" s="26"/>
      <c r="J44" s="27"/>
      <c r="K44" s="27"/>
      <c r="L44" s="25"/>
      <c r="M44" s="25"/>
      <c r="N44" s="26"/>
      <c r="O44" s="27"/>
      <c r="P44" s="28"/>
      <c r="Q44" s="29"/>
    </row>
    <row r="45" spans="1:17" x14ac:dyDescent="0.2">
      <c r="A45" s="341">
        <v>25</v>
      </c>
      <c r="B45" s="121"/>
      <c r="C45" s="120" t="s">
        <v>92</v>
      </c>
      <c r="D45" s="123"/>
      <c r="E45" s="121" t="s">
        <v>91</v>
      </c>
      <c r="F45" s="126">
        <v>1300</v>
      </c>
      <c r="G45" s="119"/>
      <c r="H45" s="61"/>
      <c r="I45" s="26"/>
      <c r="J45" s="27"/>
      <c r="K45" s="27"/>
      <c r="L45" s="25"/>
      <c r="M45" s="25"/>
      <c r="N45" s="26"/>
      <c r="O45" s="27"/>
      <c r="P45" s="28"/>
      <c r="Q45" s="29"/>
    </row>
    <row r="46" spans="1:17" x14ac:dyDescent="0.2">
      <c r="A46" s="341">
        <v>26</v>
      </c>
      <c r="B46" s="121"/>
      <c r="C46" s="120" t="s">
        <v>93</v>
      </c>
      <c r="D46" s="123"/>
      <c r="E46" s="121" t="s">
        <v>91</v>
      </c>
      <c r="F46" s="126">
        <v>200</v>
      </c>
      <c r="G46" s="119"/>
      <c r="H46" s="61"/>
      <c r="I46" s="26"/>
      <c r="J46" s="27"/>
      <c r="K46" s="27"/>
      <c r="L46" s="25"/>
      <c r="M46" s="25"/>
      <c r="N46" s="26"/>
      <c r="O46" s="27"/>
      <c r="P46" s="28"/>
      <c r="Q46" s="29"/>
    </row>
    <row r="47" spans="1:17" x14ac:dyDescent="0.2">
      <c r="A47" s="341">
        <v>27</v>
      </c>
      <c r="B47" s="121"/>
      <c r="C47" s="120" t="s">
        <v>610</v>
      </c>
      <c r="D47" s="123"/>
      <c r="E47" s="121" t="s">
        <v>91</v>
      </c>
      <c r="F47" s="126">
        <v>20</v>
      </c>
      <c r="G47" s="119"/>
      <c r="H47" s="61"/>
      <c r="I47" s="26"/>
      <c r="J47" s="27"/>
      <c r="K47" s="27"/>
      <c r="L47" s="25"/>
      <c r="M47" s="25"/>
      <c r="N47" s="26"/>
      <c r="O47" s="27"/>
      <c r="P47" s="28"/>
      <c r="Q47" s="29"/>
    </row>
    <row r="48" spans="1:17" x14ac:dyDescent="0.2">
      <c r="A48" s="341">
        <v>28</v>
      </c>
      <c r="B48" s="121"/>
      <c r="C48" s="120" t="s">
        <v>94</v>
      </c>
      <c r="D48" s="123"/>
      <c r="E48" s="121" t="s">
        <v>91</v>
      </c>
      <c r="F48" s="126">
        <v>220</v>
      </c>
      <c r="G48" s="119"/>
      <c r="H48" s="61"/>
      <c r="I48" s="26"/>
      <c r="J48" s="27"/>
      <c r="K48" s="27"/>
      <c r="L48" s="25"/>
      <c r="M48" s="25"/>
      <c r="N48" s="26"/>
      <c r="O48" s="27"/>
      <c r="P48" s="28"/>
      <c r="Q48" s="29"/>
    </row>
    <row r="49" spans="1:17" x14ac:dyDescent="0.2">
      <c r="A49" s="341">
        <v>29</v>
      </c>
      <c r="B49" s="121"/>
      <c r="C49" s="120" t="s">
        <v>95</v>
      </c>
      <c r="D49" s="123"/>
      <c r="E49" s="121" t="s">
        <v>91</v>
      </c>
      <c r="F49" s="126">
        <v>360</v>
      </c>
      <c r="G49" s="119"/>
      <c r="H49" s="61"/>
      <c r="I49" s="26"/>
      <c r="J49" s="27"/>
      <c r="K49" s="27"/>
      <c r="L49" s="25"/>
      <c r="M49" s="25"/>
      <c r="N49" s="26"/>
      <c r="O49" s="27"/>
      <c r="P49" s="28"/>
      <c r="Q49" s="29"/>
    </row>
    <row r="50" spans="1:17" x14ac:dyDescent="0.2">
      <c r="A50" s="341">
        <v>30</v>
      </c>
      <c r="B50" s="121"/>
      <c r="C50" s="120" t="s">
        <v>96</v>
      </c>
      <c r="D50" s="123"/>
      <c r="E50" s="121" t="s">
        <v>91</v>
      </c>
      <c r="F50" s="126">
        <v>75</v>
      </c>
      <c r="G50" s="119"/>
      <c r="H50" s="61"/>
      <c r="I50" s="26"/>
      <c r="J50" s="27"/>
      <c r="K50" s="27"/>
      <c r="L50" s="25"/>
      <c r="M50" s="25"/>
      <c r="N50" s="26"/>
      <c r="O50" s="27"/>
      <c r="P50" s="28"/>
      <c r="Q50" s="29"/>
    </row>
    <row r="51" spans="1:17" x14ac:dyDescent="0.2">
      <c r="A51" s="341">
        <v>31</v>
      </c>
      <c r="B51" s="121"/>
      <c r="C51" s="120" t="s">
        <v>611</v>
      </c>
      <c r="D51" s="123"/>
      <c r="E51" s="121" t="s">
        <v>91</v>
      </c>
      <c r="F51" s="126">
        <v>15</v>
      </c>
      <c r="G51" s="119"/>
      <c r="H51" s="61"/>
      <c r="I51" s="26"/>
      <c r="J51" s="27"/>
      <c r="K51" s="27"/>
      <c r="L51" s="25"/>
      <c r="M51" s="25"/>
      <c r="N51" s="26"/>
      <c r="O51" s="27"/>
      <c r="P51" s="28"/>
      <c r="Q51" s="29"/>
    </row>
    <row r="52" spans="1:17" x14ac:dyDescent="0.2">
      <c r="A52" s="341">
        <v>32</v>
      </c>
      <c r="B52" s="121"/>
      <c r="C52" s="287" t="s">
        <v>612</v>
      </c>
      <c r="D52" s="123"/>
      <c r="E52" s="121" t="s">
        <v>91</v>
      </c>
      <c r="F52" s="126">
        <v>300</v>
      </c>
      <c r="G52" s="119"/>
      <c r="H52" s="61"/>
      <c r="I52" s="26"/>
      <c r="J52" s="27"/>
      <c r="K52" s="27"/>
      <c r="L52" s="25"/>
      <c r="M52" s="25"/>
      <c r="N52" s="26"/>
      <c r="O52" s="27"/>
      <c r="P52" s="28"/>
      <c r="Q52" s="29"/>
    </row>
    <row r="53" spans="1:17" x14ac:dyDescent="0.2">
      <c r="A53" s="341">
        <v>33</v>
      </c>
      <c r="B53" s="121"/>
      <c r="C53" s="287" t="s">
        <v>613</v>
      </c>
      <c r="D53" s="123"/>
      <c r="E53" s="121" t="s">
        <v>91</v>
      </c>
      <c r="F53" s="126">
        <v>5</v>
      </c>
      <c r="G53" s="119"/>
      <c r="H53" s="61"/>
      <c r="I53" s="26"/>
      <c r="J53" s="27"/>
      <c r="K53" s="27"/>
      <c r="L53" s="25"/>
      <c r="M53" s="25"/>
      <c r="N53" s="26"/>
      <c r="O53" s="27"/>
      <c r="P53" s="28"/>
      <c r="Q53" s="29"/>
    </row>
    <row r="54" spans="1:17" x14ac:dyDescent="0.2">
      <c r="A54" s="341">
        <v>34</v>
      </c>
      <c r="B54" s="121"/>
      <c r="C54" s="287" t="s">
        <v>97</v>
      </c>
      <c r="D54" s="123"/>
      <c r="E54" s="121" t="s">
        <v>91</v>
      </c>
      <c r="F54" s="126">
        <v>10</v>
      </c>
      <c r="G54" s="119"/>
      <c r="H54" s="61"/>
      <c r="I54" s="26"/>
      <c r="J54" s="27"/>
      <c r="K54" s="27"/>
      <c r="L54" s="25"/>
      <c r="M54" s="25"/>
      <c r="N54" s="26"/>
      <c r="O54" s="27"/>
      <c r="P54" s="28"/>
      <c r="Q54" s="29"/>
    </row>
    <row r="55" spans="1:17" x14ac:dyDescent="0.2">
      <c r="A55" s="341">
        <v>35</v>
      </c>
      <c r="B55" s="134"/>
      <c r="C55" s="287" t="s">
        <v>99</v>
      </c>
      <c r="D55" s="123"/>
      <c r="E55" s="121" t="s">
        <v>91</v>
      </c>
      <c r="F55" s="126">
        <v>50</v>
      </c>
      <c r="G55" s="119"/>
      <c r="H55" s="61"/>
      <c r="I55" s="26"/>
      <c r="J55" s="27"/>
      <c r="K55" s="27"/>
      <c r="L55" s="25"/>
      <c r="M55" s="25"/>
      <c r="N55" s="26"/>
      <c r="O55" s="27"/>
      <c r="P55" s="28"/>
      <c r="Q55" s="29"/>
    </row>
    <row r="56" spans="1:17" x14ac:dyDescent="0.2">
      <c r="A56" s="341">
        <v>36</v>
      </c>
      <c r="B56" s="134"/>
      <c r="C56" s="287" t="s">
        <v>101</v>
      </c>
      <c r="D56" s="123"/>
      <c r="E56" s="121" t="s">
        <v>91</v>
      </c>
      <c r="F56" s="126">
        <v>50</v>
      </c>
      <c r="G56" s="119"/>
      <c r="H56" s="61"/>
      <c r="I56" s="26"/>
      <c r="J56" s="27"/>
      <c r="K56" s="27"/>
      <c r="L56" s="25"/>
      <c r="M56" s="25"/>
      <c r="N56" s="26"/>
      <c r="O56" s="27"/>
      <c r="P56" s="28"/>
      <c r="Q56" s="29"/>
    </row>
    <row r="57" spans="1:17" x14ac:dyDescent="0.2">
      <c r="A57" s="341">
        <v>37</v>
      </c>
      <c r="B57" s="134"/>
      <c r="C57" s="287" t="s">
        <v>103</v>
      </c>
      <c r="D57" s="123"/>
      <c r="E57" s="121" t="s">
        <v>91</v>
      </c>
      <c r="F57" s="126">
        <v>20</v>
      </c>
      <c r="G57" s="119"/>
      <c r="H57" s="61"/>
      <c r="I57" s="26"/>
      <c r="J57" s="27"/>
      <c r="K57" s="27"/>
      <c r="L57" s="25"/>
      <c r="M57" s="25"/>
      <c r="N57" s="26"/>
      <c r="O57" s="27"/>
      <c r="P57" s="28"/>
      <c r="Q57" s="29"/>
    </row>
    <row r="58" spans="1:17" x14ac:dyDescent="0.2">
      <c r="A58" s="341">
        <v>38</v>
      </c>
      <c r="B58" s="134"/>
      <c r="C58" s="287" t="s">
        <v>105</v>
      </c>
      <c r="D58" s="123"/>
      <c r="E58" s="121" t="s">
        <v>91</v>
      </c>
      <c r="F58" s="126">
        <v>10</v>
      </c>
      <c r="G58" s="119"/>
      <c r="H58" s="61"/>
      <c r="I58" s="26"/>
      <c r="J58" s="27"/>
      <c r="K58" s="27"/>
      <c r="L58" s="25"/>
      <c r="M58" s="25"/>
      <c r="N58" s="26"/>
      <c r="O58" s="27"/>
      <c r="P58" s="28"/>
      <c r="Q58" s="29"/>
    </row>
    <row r="59" spans="1:17" x14ac:dyDescent="0.2">
      <c r="A59" s="341">
        <v>39</v>
      </c>
      <c r="B59" s="134"/>
      <c r="C59" s="287" t="s">
        <v>100</v>
      </c>
      <c r="D59" s="123"/>
      <c r="E59" s="121" t="s">
        <v>91</v>
      </c>
      <c r="F59" s="126">
        <v>100</v>
      </c>
      <c r="G59" s="119"/>
      <c r="H59" s="61"/>
      <c r="I59" s="26"/>
      <c r="J59" s="27"/>
      <c r="K59" s="27"/>
      <c r="L59" s="25"/>
      <c r="M59" s="25"/>
      <c r="N59" s="26"/>
      <c r="O59" s="27"/>
      <c r="P59" s="28"/>
      <c r="Q59" s="29"/>
    </row>
    <row r="60" spans="1:17" x14ac:dyDescent="0.2">
      <c r="A60" s="341">
        <v>40</v>
      </c>
      <c r="B60" s="134"/>
      <c r="C60" s="287" t="s">
        <v>102</v>
      </c>
      <c r="D60" s="123"/>
      <c r="E60" s="121" t="s">
        <v>91</v>
      </c>
      <c r="F60" s="126">
        <v>200</v>
      </c>
      <c r="G60" s="119"/>
      <c r="H60" s="61"/>
      <c r="I60" s="26"/>
      <c r="J60" s="27"/>
      <c r="K60" s="27"/>
      <c r="L60" s="25"/>
      <c r="M60" s="25"/>
      <c r="N60" s="26"/>
      <c r="O60" s="27"/>
      <c r="P60" s="28"/>
      <c r="Q60" s="29"/>
    </row>
    <row r="61" spans="1:17" x14ac:dyDescent="0.2">
      <c r="A61" s="341">
        <v>41</v>
      </c>
      <c r="B61" s="134"/>
      <c r="C61" s="287" t="s">
        <v>104</v>
      </c>
      <c r="D61" s="123"/>
      <c r="E61" s="121" t="s">
        <v>91</v>
      </c>
      <c r="F61" s="126">
        <v>10</v>
      </c>
      <c r="G61" s="119"/>
      <c r="H61" s="61"/>
      <c r="I61" s="26"/>
      <c r="J61" s="27"/>
      <c r="K61" s="27"/>
      <c r="L61" s="25"/>
      <c r="M61" s="25"/>
      <c r="N61" s="26"/>
      <c r="O61" s="27"/>
      <c r="P61" s="28"/>
      <c r="Q61" s="29"/>
    </row>
    <row r="62" spans="1:17" ht="22.5" x14ac:dyDescent="0.2">
      <c r="A62" s="341">
        <v>42</v>
      </c>
      <c r="B62" s="121"/>
      <c r="C62" s="120" t="s">
        <v>614</v>
      </c>
      <c r="D62" s="302"/>
      <c r="E62" s="121" t="s">
        <v>91</v>
      </c>
      <c r="F62" s="126">
        <v>20</v>
      </c>
      <c r="G62" s="119"/>
      <c r="H62" s="61"/>
      <c r="I62" s="26"/>
      <c r="J62" s="27"/>
      <c r="K62" s="27"/>
      <c r="L62" s="25"/>
      <c r="M62" s="25"/>
      <c r="N62" s="26"/>
      <c r="O62" s="27"/>
      <c r="P62" s="28"/>
      <c r="Q62" s="29"/>
    </row>
    <row r="63" spans="1:17" x14ac:dyDescent="0.2">
      <c r="A63" s="341">
        <v>43</v>
      </c>
      <c r="B63" s="121"/>
      <c r="C63" s="120" t="s">
        <v>615</v>
      </c>
      <c r="D63" s="302"/>
      <c r="E63" s="121" t="s">
        <v>73</v>
      </c>
      <c r="F63" s="126">
        <v>10</v>
      </c>
      <c r="G63" s="119"/>
      <c r="H63" s="61"/>
      <c r="I63" s="26"/>
      <c r="J63" s="27"/>
      <c r="K63" s="27"/>
      <c r="L63" s="25"/>
      <c r="M63" s="25"/>
      <c r="N63" s="26"/>
      <c r="O63" s="27"/>
      <c r="P63" s="28"/>
      <c r="Q63" s="29"/>
    </row>
    <row r="64" spans="1:17" x14ac:dyDescent="0.2">
      <c r="A64" s="341">
        <v>44</v>
      </c>
      <c r="B64" s="121"/>
      <c r="C64" s="120" t="s">
        <v>616</v>
      </c>
      <c r="D64" s="302"/>
      <c r="E64" s="121" t="s">
        <v>73</v>
      </c>
      <c r="F64" s="126">
        <v>5</v>
      </c>
      <c r="G64" s="119"/>
      <c r="H64" s="61"/>
      <c r="I64" s="26"/>
      <c r="J64" s="27"/>
      <c r="K64" s="27"/>
      <c r="L64" s="25"/>
      <c r="M64" s="25"/>
      <c r="N64" s="26"/>
      <c r="O64" s="27"/>
      <c r="P64" s="28"/>
      <c r="Q64" s="29"/>
    </row>
    <row r="65" spans="1:17" x14ac:dyDescent="0.2">
      <c r="A65" s="341">
        <v>45</v>
      </c>
      <c r="B65" s="121"/>
      <c r="C65" s="120" t="s">
        <v>80</v>
      </c>
      <c r="D65" s="302"/>
      <c r="E65" s="121" t="s">
        <v>73</v>
      </c>
      <c r="F65" s="126">
        <v>1</v>
      </c>
      <c r="G65" s="119"/>
      <c r="H65" s="61"/>
      <c r="I65" s="26"/>
      <c r="J65" s="27"/>
      <c r="K65" s="27"/>
      <c r="L65" s="25"/>
      <c r="M65" s="25"/>
      <c r="N65" s="26"/>
      <c r="O65" s="27"/>
      <c r="P65" s="28"/>
      <c r="Q65" s="29"/>
    </row>
    <row r="66" spans="1:17" x14ac:dyDescent="0.2">
      <c r="A66" s="341"/>
      <c r="B66" s="121"/>
      <c r="C66" s="132" t="s">
        <v>607</v>
      </c>
      <c r="D66" s="123"/>
      <c r="E66" s="121"/>
      <c r="F66" s="126"/>
      <c r="G66" s="119"/>
      <c r="H66" s="61"/>
      <c r="I66" s="26"/>
      <c r="J66" s="27"/>
      <c r="K66" s="27"/>
      <c r="L66" s="25"/>
      <c r="M66" s="25"/>
      <c r="N66" s="26"/>
      <c r="O66" s="27"/>
      <c r="P66" s="28"/>
      <c r="Q66" s="29"/>
    </row>
    <row r="67" spans="1:17" ht="22.5" x14ac:dyDescent="0.2">
      <c r="A67" s="341">
        <v>46</v>
      </c>
      <c r="B67" s="134"/>
      <c r="C67" s="287" t="s">
        <v>608</v>
      </c>
      <c r="D67" s="123"/>
      <c r="E67" s="121" t="s">
        <v>609</v>
      </c>
      <c r="F67" s="126">
        <v>1</v>
      </c>
      <c r="G67" s="119"/>
      <c r="H67" s="61"/>
      <c r="I67" s="26"/>
      <c r="J67" s="27"/>
      <c r="K67" s="27"/>
      <c r="L67" s="25"/>
      <c r="M67" s="25"/>
      <c r="N67" s="26"/>
      <c r="O67" s="27"/>
      <c r="P67" s="28"/>
      <c r="Q67" s="29"/>
    </row>
    <row r="68" spans="1:17" x14ac:dyDescent="0.2">
      <c r="A68" s="341"/>
      <c r="B68" s="121"/>
      <c r="C68" s="132" t="s">
        <v>98</v>
      </c>
      <c r="D68" s="123"/>
      <c r="E68" s="121"/>
      <c r="F68" s="126"/>
      <c r="G68" s="119"/>
      <c r="H68" s="61"/>
      <c r="I68" s="26"/>
      <c r="J68" s="27"/>
      <c r="K68" s="27"/>
      <c r="L68" s="25"/>
      <c r="M68" s="25"/>
      <c r="N68" s="26"/>
      <c r="O68" s="27"/>
      <c r="P68" s="28"/>
      <c r="Q68" s="29"/>
    </row>
    <row r="69" spans="1:17" x14ac:dyDescent="0.2">
      <c r="A69" s="341">
        <v>47</v>
      </c>
      <c r="B69" s="134"/>
      <c r="C69" s="287" t="s">
        <v>604</v>
      </c>
      <c r="D69" s="123" t="s">
        <v>106</v>
      </c>
      <c r="E69" s="121" t="s">
        <v>91</v>
      </c>
      <c r="F69" s="126">
        <v>225</v>
      </c>
      <c r="G69" s="119"/>
      <c r="H69" s="61"/>
      <c r="I69" s="26"/>
      <c r="J69" s="27"/>
      <c r="K69" s="27"/>
      <c r="L69" s="25"/>
      <c r="M69" s="25"/>
      <c r="N69" s="26"/>
      <c r="O69" s="27"/>
      <c r="P69" s="28"/>
      <c r="Q69" s="29"/>
    </row>
    <row r="70" spans="1:17" x14ac:dyDescent="0.2">
      <c r="A70" s="341">
        <v>48</v>
      </c>
      <c r="B70" s="134"/>
      <c r="C70" s="287" t="s">
        <v>605</v>
      </c>
      <c r="D70" s="123" t="s">
        <v>106</v>
      </c>
      <c r="E70" s="121" t="s">
        <v>91</v>
      </c>
      <c r="F70" s="126">
        <v>10</v>
      </c>
      <c r="G70" s="119"/>
      <c r="H70" s="61"/>
      <c r="I70" s="26"/>
      <c r="J70" s="27"/>
      <c r="K70" s="27"/>
      <c r="L70" s="25"/>
      <c r="M70" s="25"/>
      <c r="N70" s="26"/>
      <c r="O70" s="27"/>
      <c r="P70" s="28"/>
      <c r="Q70" s="29"/>
    </row>
    <row r="71" spans="1:17" x14ac:dyDescent="0.2">
      <c r="A71" s="341">
        <v>49</v>
      </c>
      <c r="B71" s="134"/>
      <c r="C71" s="287" t="s">
        <v>107</v>
      </c>
      <c r="D71" s="123"/>
      <c r="E71" s="121" t="s">
        <v>46</v>
      </c>
      <c r="F71" s="126">
        <v>70</v>
      </c>
      <c r="G71" s="119"/>
      <c r="H71" s="61"/>
      <c r="I71" s="26"/>
      <c r="J71" s="27"/>
      <c r="K71" s="27"/>
      <c r="L71" s="25"/>
      <c r="M71" s="25"/>
      <c r="N71" s="26"/>
      <c r="O71" s="27"/>
      <c r="P71" s="28"/>
      <c r="Q71" s="29"/>
    </row>
    <row r="72" spans="1:17" x14ac:dyDescent="0.2">
      <c r="A72" s="341">
        <v>50</v>
      </c>
      <c r="B72" s="134"/>
      <c r="C72" s="287" t="s">
        <v>108</v>
      </c>
      <c r="D72" s="123"/>
      <c r="E72" s="121" t="s">
        <v>46</v>
      </c>
      <c r="F72" s="126">
        <v>70</v>
      </c>
      <c r="G72" s="119"/>
      <c r="H72" s="61"/>
      <c r="I72" s="26"/>
      <c r="J72" s="27"/>
      <c r="K72" s="27"/>
      <c r="L72" s="25"/>
      <c r="M72" s="25"/>
      <c r="N72" s="26"/>
      <c r="O72" s="27"/>
      <c r="P72" s="28"/>
      <c r="Q72" s="29"/>
    </row>
    <row r="73" spans="1:17" x14ac:dyDescent="0.2">
      <c r="A73" s="341">
        <v>51</v>
      </c>
      <c r="B73" s="134"/>
      <c r="C73" s="287" t="s">
        <v>109</v>
      </c>
      <c r="D73" s="123"/>
      <c r="E73" s="121" t="s">
        <v>46</v>
      </c>
      <c r="F73" s="126">
        <v>3</v>
      </c>
      <c r="G73" s="119"/>
      <c r="H73" s="61"/>
      <c r="I73" s="26"/>
      <c r="J73" s="27"/>
      <c r="K73" s="27"/>
      <c r="L73" s="25"/>
      <c r="M73" s="25"/>
      <c r="N73" s="26"/>
      <c r="O73" s="27"/>
      <c r="P73" s="28"/>
      <c r="Q73" s="29"/>
    </row>
    <row r="74" spans="1:17" x14ac:dyDescent="0.2">
      <c r="A74" s="341">
        <v>52</v>
      </c>
      <c r="B74" s="134"/>
      <c r="C74" s="287" t="s">
        <v>606</v>
      </c>
      <c r="D74" s="123"/>
      <c r="E74" s="121" t="s">
        <v>46</v>
      </c>
      <c r="F74" s="126">
        <v>110</v>
      </c>
      <c r="G74" s="119"/>
      <c r="H74" s="61"/>
      <c r="I74" s="26"/>
      <c r="J74" s="27"/>
      <c r="K74" s="27"/>
      <c r="L74" s="25"/>
      <c r="M74" s="25"/>
      <c r="N74" s="26"/>
      <c r="O74" s="27"/>
      <c r="P74" s="28"/>
      <c r="Q74" s="29"/>
    </row>
    <row r="75" spans="1:17" x14ac:dyDescent="0.2">
      <c r="A75" s="341">
        <v>53</v>
      </c>
      <c r="B75" s="134"/>
      <c r="C75" s="287" t="s">
        <v>110</v>
      </c>
      <c r="D75" s="123" t="s">
        <v>106</v>
      </c>
      <c r="E75" s="121" t="s">
        <v>46</v>
      </c>
      <c r="F75" s="126">
        <v>10</v>
      </c>
      <c r="G75" s="119"/>
      <c r="H75" s="61"/>
      <c r="I75" s="26"/>
      <c r="J75" s="27"/>
      <c r="K75" s="27"/>
      <c r="L75" s="25"/>
      <c r="M75" s="25"/>
      <c r="N75" s="26"/>
      <c r="O75" s="27"/>
      <c r="P75" s="28"/>
      <c r="Q75" s="29"/>
    </row>
    <row r="76" spans="1:17" ht="22.5" x14ac:dyDescent="0.2">
      <c r="A76" s="341">
        <v>54</v>
      </c>
      <c r="B76" s="134"/>
      <c r="C76" s="287" t="s">
        <v>111</v>
      </c>
      <c r="D76" s="123"/>
      <c r="E76" s="121" t="s">
        <v>73</v>
      </c>
      <c r="F76" s="126">
        <v>1</v>
      </c>
      <c r="G76" s="119"/>
      <c r="H76" s="61"/>
      <c r="I76" s="26"/>
      <c r="J76" s="27"/>
      <c r="K76" s="27"/>
      <c r="L76" s="25"/>
      <c r="M76" s="25"/>
      <c r="N76" s="26"/>
      <c r="O76" s="27"/>
      <c r="P76" s="28"/>
      <c r="Q76" s="29"/>
    </row>
    <row r="77" spans="1:17" x14ac:dyDescent="0.2">
      <c r="A77" s="341"/>
      <c r="B77" s="134"/>
      <c r="C77" s="132" t="s">
        <v>112</v>
      </c>
      <c r="D77" s="123"/>
      <c r="E77" s="121"/>
      <c r="F77" s="126"/>
      <c r="G77" s="119"/>
      <c r="H77" s="61"/>
      <c r="I77" s="26"/>
      <c r="J77" s="27"/>
      <c r="K77" s="27"/>
      <c r="L77" s="25"/>
      <c r="M77" s="25"/>
      <c r="N77" s="26"/>
      <c r="O77" s="27"/>
      <c r="P77" s="28"/>
      <c r="Q77" s="29"/>
    </row>
    <row r="78" spans="1:17" ht="33.75" x14ac:dyDescent="0.2">
      <c r="A78" s="341">
        <v>55</v>
      </c>
      <c r="B78" s="121"/>
      <c r="C78" s="120" t="s">
        <v>129</v>
      </c>
      <c r="D78" s="123" t="s">
        <v>113</v>
      </c>
      <c r="E78" s="121" t="s">
        <v>73</v>
      </c>
      <c r="F78" s="126">
        <v>1</v>
      </c>
      <c r="G78" s="119"/>
      <c r="H78" s="61"/>
      <c r="I78" s="26"/>
      <c r="J78" s="27"/>
      <c r="K78" s="27"/>
      <c r="L78" s="25"/>
      <c r="M78" s="25"/>
      <c r="N78" s="26"/>
      <c r="O78" s="27"/>
      <c r="P78" s="28"/>
      <c r="Q78" s="29"/>
    </row>
    <row r="79" spans="1:17" ht="21" x14ac:dyDescent="0.2">
      <c r="A79" s="341">
        <v>56</v>
      </c>
      <c r="B79" s="121"/>
      <c r="C79" s="120" t="s">
        <v>114</v>
      </c>
      <c r="D79" s="123" t="s">
        <v>113</v>
      </c>
      <c r="E79" s="121" t="s">
        <v>91</v>
      </c>
      <c r="F79" s="126">
        <v>140</v>
      </c>
      <c r="G79" s="119"/>
      <c r="H79" s="61"/>
      <c r="I79" s="26"/>
      <c r="J79" s="27"/>
      <c r="K79" s="27"/>
      <c r="L79" s="25"/>
      <c r="M79" s="25"/>
      <c r="N79" s="26"/>
      <c r="O79" s="27"/>
      <c r="P79" s="28"/>
      <c r="Q79" s="29"/>
    </row>
    <row r="80" spans="1:17" ht="22.5" x14ac:dyDescent="0.2">
      <c r="A80" s="341">
        <v>57</v>
      </c>
      <c r="B80" s="121"/>
      <c r="C80" s="120" t="s">
        <v>115</v>
      </c>
      <c r="D80" s="123" t="s">
        <v>113</v>
      </c>
      <c r="E80" s="121" t="s">
        <v>91</v>
      </c>
      <c r="F80" s="126">
        <v>24</v>
      </c>
      <c r="G80" s="119"/>
      <c r="H80" s="61"/>
      <c r="I80" s="26"/>
      <c r="J80" s="27"/>
      <c r="K80" s="27"/>
      <c r="L80" s="25"/>
      <c r="M80" s="25"/>
      <c r="N80" s="26"/>
      <c r="O80" s="27"/>
      <c r="P80" s="28"/>
      <c r="Q80" s="29"/>
    </row>
    <row r="81" spans="1:17" ht="22.5" x14ac:dyDescent="0.2">
      <c r="A81" s="341">
        <v>58</v>
      </c>
      <c r="B81" s="121"/>
      <c r="C81" s="120" t="s">
        <v>116</v>
      </c>
      <c r="D81" s="123" t="s">
        <v>113</v>
      </c>
      <c r="E81" s="121" t="s">
        <v>46</v>
      </c>
      <c r="F81" s="126">
        <v>24</v>
      </c>
      <c r="G81" s="119"/>
      <c r="H81" s="61"/>
      <c r="I81" s="26"/>
      <c r="J81" s="27"/>
      <c r="K81" s="27"/>
      <c r="L81" s="25"/>
      <c r="M81" s="25"/>
      <c r="N81" s="26"/>
      <c r="O81" s="27"/>
      <c r="P81" s="28"/>
      <c r="Q81" s="29"/>
    </row>
    <row r="82" spans="1:17" ht="21" x14ac:dyDescent="0.2">
      <c r="A82" s="341">
        <v>59</v>
      </c>
      <c r="B82" s="121"/>
      <c r="C82" s="120" t="s">
        <v>117</v>
      </c>
      <c r="D82" s="123" t="s">
        <v>113</v>
      </c>
      <c r="E82" s="121" t="s">
        <v>46</v>
      </c>
      <c r="F82" s="126">
        <v>8</v>
      </c>
      <c r="G82" s="119"/>
      <c r="H82" s="61"/>
      <c r="I82" s="26"/>
      <c r="J82" s="27"/>
      <c r="K82" s="27"/>
      <c r="L82" s="25"/>
      <c r="M82" s="25"/>
      <c r="N82" s="26"/>
      <c r="O82" s="27"/>
      <c r="P82" s="28"/>
      <c r="Q82" s="29"/>
    </row>
    <row r="83" spans="1:17" ht="21" x14ac:dyDescent="0.2">
      <c r="A83" s="341">
        <v>60</v>
      </c>
      <c r="B83" s="121"/>
      <c r="C83" s="120" t="s">
        <v>118</v>
      </c>
      <c r="D83" s="123" t="s">
        <v>113</v>
      </c>
      <c r="E83" s="121" t="s">
        <v>46</v>
      </c>
      <c r="F83" s="126">
        <v>16</v>
      </c>
      <c r="G83" s="119"/>
      <c r="H83" s="61"/>
      <c r="I83" s="26"/>
      <c r="J83" s="27"/>
      <c r="K83" s="27"/>
      <c r="L83" s="25"/>
      <c r="M83" s="25"/>
      <c r="N83" s="26"/>
      <c r="O83" s="27"/>
      <c r="P83" s="28"/>
      <c r="Q83" s="29"/>
    </row>
    <row r="84" spans="1:17" ht="21" x14ac:dyDescent="0.2">
      <c r="A84" s="341">
        <v>61</v>
      </c>
      <c r="B84" s="121"/>
      <c r="C84" s="120" t="s">
        <v>119</v>
      </c>
      <c r="D84" s="123" t="s">
        <v>113</v>
      </c>
      <c r="E84" s="121" t="s">
        <v>46</v>
      </c>
      <c r="F84" s="126">
        <v>16</v>
      </c>
      <c r="G84" s="119"/>
      <c r="H84" s="61"/>
      <c r="I84" s="26"/>
      <c r="J84" s="27"/>
      <c r="K84" s="27"/>
      <c r="L84" s="25"/>
      <c r="M84" s="25"/>
      <c r="N84" s="26"/>
      <c r="O84" s="27"/>
      <c r="P84" s="28"/>
      <c r="Q84" s="29"/>
    </row>
    <row r="85" spans="1:17" ht="21" x14ac:dyDescent="0.2">
      <c r="A85" s="341">
        <v>62</v>
      </c>
      <c r="B85" s="121"/>
      <c r="C85" s="120" t="s">
        <v>120</v>
      </c>
      <c r="D85" s="123" t="s">
        <v>113</v>
      </c>
      <c r="E85" s="121" t="s">
        <v>46</v>
      </c>
      <c r="F85" s="126">
        <v>100</v>
      </c>
      <c r="G85" s="119"/>
      <c r="H85" s="61"/>
      <c r="I85" s="26"/>
      <c r="J85" s="27"/>
      <c r="K85" s="27"/>
      <c r="L85" s="25"/>
      <c r="M85" s="25"/>
      <c r="N85" s="26"/>
      <c r="O85" s="27"/>
      <c r="P85" s="28"/>
      <c r="Q85" s="29"/>
    </row>
    <row r="86" spans="1:17" ht="22.5" x14ac:dyDescent="0.2">
      <c r="A86" s="341">
        <v>63</v>
      </c>
      <c r="B86" s="121"/>
      <c r="C86" s="120" t="s">
        <v>121</v>
      </c>
      <c r="D86" s="123" t="s">
        <v>113</v>
      </c>
      <c r="E86" s="121" t="s">
        <v>46</v>
      </c>
      <c r="F86" s="126">
        <v>33</v>
      </c>
      <c r="G86" s="119"/>
      <c r="H86" s="61"/>
      <c r="I86" s="26"/>
      <c r="J86" s="27"/>
      <c r="K86" s="27"/>
      <c r="L86" s="25"/>
      <c r="M86" s="25"/>
      <c r="N86" s="26"/>
      <c r="O86" s="27"/>
      <c r="P86" s="28"/>
      <c r="Q86" s="29"/>
    </row>
    <row r="87" spans="1:17" ht="21" x14ac:dyDescent="0.2">
      <c r="A87" s="341">
        <v>64</v>
      </c>
      <c r="B87" s="121"/>
      <c r="C87" s="120" t="s">
        <v>122</v>
      </c>
      <c r="D87" s="123" t="s">
        <v>113</v>
      </c>
      <c r="E87" s="121" t="s">
        <v>46</v>
      </c>
      <c r="F87" s="126">
        <v>11</v>
      </c>
      <c r="G87" s="119"/>
      <c r="H87" s="61"/>
      <c r="I87" s="26"/>
      <c r="J87" s="27"/>
      <c r="K87" s="27"/>
      <c r="L87" s="25"/>
      <c r="M87" s="25"/>
      <c r="N87" s="26"/>
      <c r="O87" s="27"/>
      <c r="P87" s="28"/>
      <c r="Q87" s="29"/>
    </row>
    <row r="88" spans="1:17" ht="21" x14ac:dyDescent="0.2">
      <c r="A88" s="341">
        <v>65</v>
      </c>
      <c r="B88" s="121"/>
      <c r="C88" s="120" t="s">
        <v>123</v>
      </c>
      <c r="D88" s="123" t="s">
        <v>113</v>
      </c>
      <c r="E88" s="121" t="s">
        <v>91</v>
      </c>
      <c r="F88" s="126">
        <v>205</v>
      </c>
      <c r="G88" s="119"/>
      <c r="H88" s="61"/>
      <c r="I88" s="26"/>
      <c r="J88" s="27"/>
      <c r="K88" s="27"/>
      <c r="L88" s="25"/>
      <c r="M88" s="25"/>
      <c r="N88" s="26"/>
      <c r="O88" s="27"/>
      <c r="P88" s="28"/>
      <c r="Q88" s="29"/>
    </row>
    <row r="89" spans="1:17" ht="22.5" x14ac:dyDescent="0.2">
      <c r="A89" s="341">
        <v>66</v>
      </c>
      <c r="B89" s="121"/>
      <c r="C89" s="120" t="s">
        <v>124</v>
      </c>
      <c r="D89" s="123" t="s">
        <v>113</v>
      </c>
      <c r="E89" s="121" t="s">
        <v>46</v>
      </c>
      <c r="F89" s="126">
        <v>8</v>
      </c>
      <c r="G89" s="119"/>
      <c r="H89" s="61"/>
      <c r="I89" s="26"/>
      <c r="J89" s="27"/>
      <c r="K89" s="27"/>
      <c r="L89" s="25"/>
      <c r="M89" s="25"/>
      <c r="N89" s="26"/>
      <c r="O89" s="27"/>
      <c r="P89" s="28"/>
      <c r="Q89" s="29"/>
    </row>
    <row r="90" spans="1:17" ht="21" x14ac:dyDescent="0.2">
      <c r="A90" s="341">
        <v>67</v>
      </c>
      <c r="B90" s="121"/>
      <c r="C90" s="120" t="s">
        <v>125</v>
      </c>
      <c r="D90" s="123" t="s">
        <v>113</v>
      </c>
      <c r="E90" s="121" t="s">
        <v>46</v>
      </c>
      <c r="F90" s="126">
        <v>8</v>
      </c>
      <c r="G90" s="119"/>
      <c r="H90" s="61"/>
      <c r="I90" s="26"/>
      <c r="J90" s="27"/>
      <c r="K90" s="27"/>
      <c r="L90" s="25"/>
      <c r="M90" s="25"/>
      <c r="N90" s="26"/>
      <c r="O90" s="27"/>
      <c r="P90" s="28"/>
      <c r="Q90" s="29"/>
    </row>
    <row r="91" spans="1:17" ht="21" x14ac:dyDescent="0.2">
      <c r="A91" s="341">
        <v>68</v>
      </c>
      <c r="B91" s="121"/>
      <c r="C91" s="120" t="s">
        <v>126</v>
      </c>
      <c r="D91" s="123" t="s">
        <v>113</v>
      </c>
      <c r="E91" s="121" t="s">
        <v>46</v>
      </c>
      <c r="F91" s="126">
        <v>3</v>
      </c>
      <c r="G91" s="119"/>
      <c r="H91" s="61"/>
      <c r="I91" s="26"/>
      <c r="J91" s="27"/>
      <c r="K91" s="27"/>
      <c r="L91" s="25"/>
      <c r="M91" s="25"/>
      <c r="N91" s="26"/>
      <c r="O91" s="27"/>
      <c r="P91" s="28"/>
      <c r="Q91" s="29"/>
    </row>
    <row r="92" spans="1:17" ht="21" x14ac:dyDescent="0.2">
      <c r="A92" s="341">
        <v>69</v>
      </c>
      <c r="B92" s="121"/>
      <c r="C92" s="120" t="s">
        <v>127</v>
      </c>
      <c r="D92" s="123" t="s">
        <v>113</v>
      </c>
      <c r="E92" s="121" t="s">
        <v>46</v>
      </c>
      <c r="F92" s="126">
        <v>1</v>
      </c>
      <c r="G92" s="119"/>
      <c r="H92" s="61"/>
      <c r="I92" s="26"/>
      <c r="J92" s="27"/>
      <c r="K92" s="27"/>
      <c r="L92" s="25"/>
      <c r="M92" s="25"/>
      <c r="N92" s="26"/>
      <c r="O92" s="27"/>
      <c r="P92" s="28"/>
      <c r="Q92" s="29"/>
    </row>
    <row r="93" spans="1:17" ht="15" thickBot="1" x14ac:dyDescent="0.25">
      <c r="A93" s="341">
        <v>70</v>
      </c>
      <c r="B93" s="135"/>
      <c r="C93" s="128" t="s">
        <v>80</v>
      </c>
      <c r="D93" s="131"/>
      <c r="E93" s="135" t="s">
        <v>73</v>
      </c>
      <c r="F93" s="127">
        <v>1</v>
      </c>
      <c r="G93" s="303"/>
      <c r="H93" s="304"/>
      <c r="I93" s="305"/>
      <c r="J93" s="306"/>
      <c r="K93" s="306"/>
      <c r="L93" s="307"/>
      <c r="M93" s="307"/>
      <c r="N93" s="305"/>
      <c r="O93" s="306"/>
      <c r="P93" s="308"/>
      <c r="Q93" s="309"/>
    </row>
    <row r="94" spans="1:17" ht="15" customHeight="1" thickBo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2" t="s">
        <v>130</v>
      </c>
      <c r="M94" s="33">
        <f>ROUND(SUM(M15:M93),2)</f>
        <v>0</v>
      </c>
      <c r="N94" s="33">
        <f>ROUND(SUM(N15:N93),2)</f>
        <v>0</v>
      </c>
      <c r="O94" s="34">
        <f>ROUND(SUM(O15:O93),2)</f>
        <v>0</v>
      </c>
      <c r="P94" s="35">
        <f>ROUND(SUM(P15:P93),2)</f>
        <v>0</v>
      </c>
      <c r="Q94" s="36">
        <f>ROUND(SUM(Q15:Q93),2)</f>
        <v>0</v>
      </c>
    </row>
    <row r="95" spans="1:17" ht="34.9" customHeight="1" x14ac:dyDescent="0.2">
      <c r="A95" s="37"/>
      <c r="B95" s="7"/>
      <c r="C95" s="38"/>
      <c r="D95" s="39"/>
      <c r="E95" s="39"/>
      <c r="F95" s="5"/>
      <c r="G95" s="5"/>
      <c r="H95" s="5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">
      <c r="A96" s="40"/>
      <c r="B96" s="41"/>
      <c r="C96" s="41" t="s">
        <v>10</v>
      </c>
      <c r="D96" s="42"/>
      <c r="E96" s="42"/>
      <c r="F96" s="43"/>
      <c r="G96" s="44"/>
      <c r="H96" s="42"/>
      <c r="I96" s="45">
        <f>Kopsavilkums!C$43</f>
        <v>0</v>
      </c>
      <c r="J96" s="46" t="str">
        <f>Kopsavilkums!D$43</f>
        <v>datums</v>
      </c>
      <c r="K96" s="46"/>
      <c r="L96" s="41" t="s">
        <v>11</v>
      </c>
      <c r="M96" s="47"/>
      <c r="N96" s="44"/>
      <c r="O96" s="44"/>
      <c r="P96" s="45">
        <f>Kopsavilkums!C$48</f>
        <v>0</v>
      </c>
      <c r="Q96" s="46" t="str">
        <f>Kopsavilkums!D$48</f>
        <v>datums</v>
      </c>
    </row>
    <row r="97" spans="1:46" x14ac:dyDescent="0.2">
      <c r="A97" s="48"/>
      <c r="B97" s="49"/>
      <c r="C97" s="50"/>
      <c r="D97" s="50"/>
      <c r="E97" s="407" t="s">
        <v>12</v>
      </c>
      <c r="F97" s="407"/>
      <c r="G97" s="407"/>
      <c r="H97" s="407"/>
      <c r="I97" s="407"/>
      <c r="J97" s="7"/>
      <c r="K97" s="7"/>
      <c r="L97" s="7"/>
      <c r="M97" s="407" t="s">
        <v>12</v>
      </c>
      <c r="N97" s="407"/>
      <c r="O97" s="407"/>
      <c r="P97" s="407"/>
      <c r="Q97" s="7"/>
    </row>
    <row r="98" spans="1:46" x14ac:dyDescent="0.2">
      <c r="A98" s="37"/>
      <c r="B98" s="7"/>
      <c r="C98" s="38"/>
      <c r="D98" s="5"/>
      <c r="E98" s="5"/>
      <c r="F98" s="5"/>
      <c r="G98" s="5"/>
      <c r="H98" s="5"/>
      <c r="I98" s="7"/>
      <c r="J98" s="7"/>
      <c r="K98" s="7"/>
      <c r="L98" s="7"/>
      <c r="M98" s="7"/>
      <c r="N98" s="7"/>
      <c r="O98" s="7"/>
      <c r="P98" s="7"/>
      <c r="Q98" s="7"/>
    </row>
    <row r="99" spans="1:46" x14ac:dyDescent="0.2">
      <c r="A99" s="51"/>
      <c r="B99" s="46"/>
      <c r="C99" s="52"/>
      <c r="D99" s="52">
        <f>Kopsavilkums!A$46</f>
        <v>0</v>
      </c>
      <c r="E99" s="52" t="str">
        <f>Kopsavilkums!B$46</f>
        <v>-</v>
      </c>
      <c r="F99" s="5"/>
      <c r="G99" s="5"/>
      <c r="H99" s="5"/>
      <c r="I99" s="7"/>
      <c r="J99" s="7"/>
      <c r="K99" s="7"/>
      <c r="L99" s="7"/>
      <c r="M99" s="52" t="str">
        <f>Kopsavilkums!B$51</f>
        <v>Sert.Nr.</v>
      </c>
      <c r="N99" s="53"/>
      <c r="O99" s="7"/>
      <c r="P99" s="7"/>
      <c r="Q99" s="7"/>
    </row>
    <row r="100" spans="1:46" s="54" customFormat="1" x14ac:dyDescent="0.25">
      <c r="R100" s="175"/>
      <c r="S100" s="175"/>
      <c r="T100" s="175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</row>
    <row r="101" spans="1:46" s="54" customFormat="1" x14ac:dyDescent="0.25">
      <c r="R101" s="175"/>
      <c r="S101" s="175"/>
      <c r="T101" s="175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</row>
    <row r="102" spans="1:46" s="54" customFormat="1" x14ac:dyDescent="0.25">
      <c r="R102" s="175"/>
      <c r="S102" s="175"/>
      <c r="T102" s="175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</row>
    <row r="103" spans="1:46" s="54" customFormat="1" x14ac:dyDescent="0.25">
      <c r="R103" s="175"/>
      <c r="S103" s="175"/>
      <c r="T103" s="175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</row>
    <row r="104" spans="1:46" s="54" customFormat="1" x14ac:dyDescent="0.25">
      <c r="R104" s="175"/>
      <c r="S104" s="175"/>
      <c r="T104" s="175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</row>
    <row r="105" spans="1:46" s="54" customFormat="1" x14ac:dyDescent="0.25">
      <c r="R105" s="175"/>
      <c r="S105" s="175"/>
      <c r="T105" s="175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</row>
    <row r="106" spans="1:46" s="54" customFormat="1" x14ac:dyDescent="0.25">
      <c r="R106" s="175"/>
      <c r="S106" s="175"/>
      <c r="T106" s="175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</row>
    <row r="107" spans="1:46" s="54" customFormat="1" x14ac:dyDescent="0.25">
      <c r="R107" s="175"/>
      <c r="S107" s="175"/>
      <c r="T107" s="175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</row>
    <row r="108" spans="1:46" s="54" customFormat="1" x14ac:dyDescent="0.25">
      <c r="R108" s="175"/>
      <c r="S108" s="175"/>
      <c r="T108" s="175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</row>
    <row r="109" spans="1:46" s="54" customFormat="1" x14ac:dyDescent="0.25">
      <c r="R109" s="175"/>
      <c r="S109" s="175"/>
      <c r="T109" s="175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</row>
    <row r="110" spans="1:46" s="54" customFormat="1" x14ac:dyDescent="0.25">
      <c r="R110" s="175"/>
      <c r="S110" s="175"/>
      <c r="T110" s="175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</row>
    <row r="111" spans="1:46" s="54" customFormat="1" x14ac:dyDescent="0.25">
      <c r="R111" s="175"/>
      <c r="S111" s="175"/>
      <c r="T111" s="175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</row>
    <row r="112" spans="1:46" s="54" customFormat="1" x14ac:dyDescent="0.25">
      <c r="R112" s="175"/>
      <c r="S112" s="175"/>
      <c r="T112" s="175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</row>
    <row r="113" spans="18:46" s="54" customFormat="1" x14ac:dyDescent="0.25">
      <c r="R113" s="175"/>
      <c r="S113" s="175"/>
      <c r="T113" s="175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</row>
    <row r="114" spans="18:46" s="54" customFormat="1" x14ac:dyDescent="0.25">
      <c r="R114" s="175"/>
      <c r="S114" s="175"/>
      <c r="T114" s="175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</row>
    <row r="115" spans="18:46" s="54" customFormat="1" x14ac:dyDescent="0.25">
      <c r="R115" s="175"/>
      <c r="S115" s="175"/>
      <c r="T115" s="175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</row>
    <row r="116" spans="18:46" s="54" customFormat="1" x14ac:dyDescent="0.25">
      <c r="R116" s="175"/>
      <c r="S116" s="175"/>
      <c r="T116" s="175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</row>
    <row r="117" spans="18:46" s="54" customFormat="1" x14ac:dyDescent="0.25">
      <c r="R117" s="175"/>
      <c r="S117" s="175"/>
      <c r="T117" s="175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</row>
    <row r="118" spans="18:46" s="54" customFormat="1" x14ac:dyDescent="0.25">
      <c r="R118" s="175"/>
      <c r="S118" s="175"/>
      <c r="T118" s="175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</row>
    <row r="119" spans="18:46" s="54" customFormat="1" x14ac:dyDescent="0.25">
      <c r="R119" s="175"/>
      <c r="S119" s="175"/>
      <c r="T119" s="175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</row>
    <row r="120" spans="18:46" s="54" customFormat="1" x14ac:dyDescent="0.25">
      <c r="R120" s="175"/>
      <c r="S120" s="175"/>
      <c r="T120" s="175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</row>
    <row r="121" spans="18:46" s="54" customFormat="1" x14ac:dyDescent="0.25">
      <c r="R121" s="175"/>
      <c r="S121" s="175"/>
      <c r="T121" s="175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</row>
    <row r="122" spans="18:46" s="54" customFormat="1" x14ac:dyDescent="0.25">
      <c r="R122" s="175"/>
      <c r="S122" s="175"/>
      <c r="T122" s="175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</row>
    <row r="123" spans="18:46" s="54" customFormat="1" x14ac:dyDescent="0.25">
      <c r="R123" s="175"/>
      <c r="S123" s="175"/>
      <c r="T123" s="175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</row>
    <row r="124" spans="18:46" s="54" customFormat="1" x14ac:dyDescent="0.25">
      <c r="R124" s="175"/>
      <c r="S124" s="175"/>
      <c r="T124" s="175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</row>
    <row r="125" spans="18:46" s="54" customFormat="1" x14ac:dyDescent="0.25">
      <c r="R125" s="175"/>
      <c r="S125" s="175"/>
      <c r="T125" s="175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</row>
    <row r="126" spans="18:46" s="54" customFormat="1" x14ac:dyDescent="0.25">
      <c r="R126" s="175"/>
      <c r="S126" s="175"/>
      <c r="T126" s="175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</row>
    <row r="127" spans="18:46" s="54" customFormat="1" x14ac:dyDescent="0.25">
      <c r="R127" s="175"/>
      <c r="S127" s="175"/>
      <c r="T127" s="175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</row>
    <row r="128" spans="18:46" s="54" customFormat="1" x14ac:dyDescent="0.25">
      <c r="R128" s="175"/>
      <c r="S128" s="175"/>
      <c r="T128" s="175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</row>
    <row r="129" spans="18:46" s="54" customFormat="1" x14ac:dyDescent="0.25">
      <c r="R129" s="175"/>
      <c r="S129" s="175"/>
      <c r="T129" s="175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</row>
    <row r="130" spans="18:46" s="54" customFormat="1" x14ac:dyDescent="0.25">
      <c r="R130" s="175"/>
      <c r="S130" s="175"/>
      <c r="T130" s="175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</row>
    <row r="131" spans="18:46" s="54" customFormat="1" x14ac:dyDescent="0.25">
      <c r="R131" s="175"/>
      <c r="S131" s="175"/>
      <c r="T131" s="175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</row>
    <row r="132" spans="18:46" s="54" customFormat="1" x14ac:dyDescent="0.25">
      <c r="R132" s="175"/>
      <c r="S132" s="175"/>
      <c r="T132" s="175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</row>
    <row r="133" spans="18:46" s="54" customFormat="1" x14ac:dyDescent="0.25">
      <c r="R133" s="175"/>
      <c r="S133" s="175"/>
      <c r="T133" s="175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</row>
    <row r="134" spans="18:46" s="54" customFormat="1" x14ac:dyDescent="0.25">
      <c r="R134" s="175"/>
      <c r="S134" s="175"/>
      <c r="T134" s="175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</row>
    <row r="135" spans="18:46" s="54" customFormat="1" x14ac:dyDescent="0.25">
      <c r="R135" s="175"/>
      <c r="S135" s="175"/>
      <c r="T135" s="175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</row>
    <row r="136" spans="18:46" s="54" customFormat="1" x14ac:dyDescent="0.25">
      <c r="R136" s="175"/>
      <c r="S136" s="175"/>
      <c r="T136" s="175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</row>
    <row r="137" spans="18:46" s="54" customFormat="1" x14ac:dyDescent="0.25">
      <c r="R137" s="175"/>
      <c r="S137" s="175"/>
      <c r="T137" s="175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</row>
    <row r="138" spans="18:46" s="54" customFormat="1" x14ac:dyDescent="0.25">
      <c r="R138" s="175"/>
      <c r="S138" s="175"/>
      <c r="T138" s="175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</row>
    <row r="139" spans="18:46" s="54" customFormat="1" x14ac:dyDescent="0.25">
      <c r="R139" s="175"/>
      <c r="S139" s="175"/>
      <c r="T139" s="175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</row>
    <row r="140" spans="18:46" s="54" customFormat="1" x14ac:dyDescent="0.25">
      <c r="R140" s="175"/>
      <c r="S140" s="175"/>
      <c r="T140" s="175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</row>
    <row r="141" spans="18:46" s="54" customFormat="1" x14ac:dyDescent="0.25">
      <c r="R141" s="175"/>
      <c r="S141" s="175"/>
      <c r="T141" s="175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</row>
    <row r="142" spans="18:46" s="54" customFormat="1" x14ac:dyDescent="0.25">
      <c r="R142" s="175"/>
      <c r="S142" s="175"/>
      <c r="T142" s="175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</row>
    <row r="143" spans="18:46" s="54" customFormat="1" x14ac:dyDescent="0.25">
      <c r="R143" s="175"/>
      <c r="S143" s="175"/>
      <c r="T143" s="175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</row>
    <row r="144" spans="18:46" s="54" customFormat="1" x14ac:dyDescent="0.25">
      <c r="R144" s="175"/>
      <c r="S144" s="175"/>
      <c r="T144" s="175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</row>
    <row r="145" spans="18:46" s="54" customFormat="1" x14ac:dyDescent="0.25">
      <c r="R145" s="175"/>
      <c r="S145" s="175"/>
      <c r="T145" s="175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</row>
    <row r="146" spans="18:46" s="54" customFormat="1" x14ac:dyDescent="0.25">
      <c r="R146" s="175"/>
      <c r="S146" s="175"/>
      <c r="T146" s="175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</row>
    <row r="147" spans="18:46" s="54" customFormat="1" x14ac:dyDescent="0.25">
      <c r="R147" s="175"/>
      <c r="S147" s="175"/>
      <c r="T147" s="175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</row>
    <row r="148" spans="18:46" s="54" customFormat="1" x14ac:dyDescent="0.25">
      <c r="R148" s="175"/>
      <c r="S148" s="175"/>
      <c r="T148" s="175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</row>
    <row r="149" spans="18:46" s="54" customFormat="1" x14ac:dyDescent="0.25">
      <c r="R149" s="175"/>
      <c r="S149" s="175"/>
      <c r="T149" s="175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</row>
    <row r="150" spans="18:46" s="54" customFormat="1" x14ac:dyDescent="0.25">
      <c r="R150" s="175"/>
      <c r="S150" s="175"/>
      <c r="T150" s="175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</row>
    <row r="151" spans="18:46" s="54" customFormat="1" x14ac:dyDescent="0.25">
      <c r="R151" s="175"/>
      <c r="S151" s="175"/>
      <c r="T151" s="175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</row>
    <row r="152" spans="18:46" s="54" customFormat="1" x14ac:dyDescent="0.25">
      <c r="R152" s="175"/>
      <c r="S152" s="175"/>
      <c r="T152" s="175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</row>
    <row r="153" spans="18:46" s="54" customFormat="1" x14ac:dyDescent="0.25">
      <c r="R153" s="175"/>
      <c r="S153" s="175"/>
      <c r="T153" s="175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</row>
    <row r="154" spans="18:46" s="54" customFormat="1" x14ac:dyDescent="0.25">
      <c r="R154" s="175"/>
      <c r="S154" s="175"/>
      <c r="T154" s="175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</row>
    <row r="155" spans="18:46" s="54" customFormat="1" x14ac:dyDescent="0.25">
      <c r="R155" s="175"/>
      <c r="S155" s="175"/>
      <c r="T155" s="175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</row>
    <row r="156" spans="18:46" s="54" customFormat="1" x14ac:dyDescent="0.25">
      <c r="R156" s="175"/>
      <c r="S156" s="175"/>
      <c r="T156" s="175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</row>
    <row r="157" spans="18:46" s="54" customFormat="1" x14ac:dyDescent="0.25">
      <c r="R157" s="175"/>
      <c r="S157" s="175"/>
      <c r="T157" s="175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</row>
    <row r="158" spans="18:46" s="54" customFormat="1" x14ac:dyDescent="0.25">
      <c r="R158" s="175"/>
      <c r="S158" s="175"/>
      <c r="T158" s="175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</row>
    <row r="159" spans="18:46" s="54" customFormat="1" x14ac:dyDescent="0.25">
      <c r="R159" s="175"/>
      <c r="S159" s="175"/>
      <c r="T159" s="175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</row>
    <row r="160" spans="18:46" s="54" customFormat="1" x14ac:dyDescent="0.25">
      <c r="R160" s="175"/>
      <c r="S160" s="175"/>
      <c r="T160" s="175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</row>
    <row r="161" spans="18:46" s="54" customFormat="1" x14ac:dyDescent="0.25">
      <c r="R161" s="175"/>
      <c r="S161" s="175"/>
      <c r="T161" s="175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</row>
    <row r="162" spans="18:46" s="54" customFormat="1" x14ac:dyDescent="0.25">
      <c r="R162" s="175"/>
      <c r="S162" s="175"/>
      <c r="T162" s="175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</row>
    <row r="163" spans="18:46" s="54" customFormat="1" x14ac:dyDescent="0.25">
      <c r="R163" s="175"/>
      <c r="S163" s="175"/>
      <c r="T163" s="175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</row>
    <row r="164" spans="18:46" s="54" customFormat="1" x14ac:dyDescent="0.25">
      <c r="R164" s="175"/>
      <c r="S164" s="175"/>
      <c r="T164" s="175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</row>
    <row r="165" spans="18:46" s="54" customFormat="1" x14ac:dyDescent="0.25">
      <c r="R165" s="175"/>
      <c r="S165" s="175"/>
      <c r="T165" s="175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</row>
    <row r="166" spans="18:46" s="54" customFormat="1" x14ac:dyDescent="0.25">
      <c r="R166" s="175"/>
      <c r="S166" s="175"/>
      <c r="T166" s="175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</row>
    <row r="167" spans="18:46" s="54" customFormat="1" x14ac:dyDescent="0.25">
      <c r="R167" s="175"/>
      <c r="S167" s="175"/>
      <c r="T167" s="175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</row>
    <row r="168" spans="18:46" s="54" customFormat="1" x14ac:dyDescent="0.25">
      <c r="R168" s="175"/>
      <c r="S168" s="175"/>
      <c r="T168" s="175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</row>
    <row r="169" spans="18:46" s="54" customFormat="1" x14ac:dyDescent="0.25">
      <c r="R169" s="175"/>
      <c r="S169" s="175"/>
      <c r="T169" s="175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</row>
    <row r="170" spans="18:46" s="54" customFormat="1" x14ac:dyDescent="0.25">
      <c r="R170" s="175"/>
      <c r="S170" s="175"/>
      <c r="T170" s="175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</row>
    <row r="171" spans="18:46" s="54" customFormat="1" x14ac:dyDescent="0.25">
      <c r="R171" s="175"/>
      <c r="S171" s="175"/>
      <c r="T171" s="175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</row>
    <row r="172" spans="18:46" s="54" customFormat="1" x14ac:dyDescent="0.25">
      <c r="R172" s="175"/>
      <c r="S172" s="175"/>
      <c r="T172" s="175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</row>
    <row r="173" spans="18:46" s="54" customFormat="1" x14ac:dyDescent="0.25">
      <c r="R173" s="175"/>
      <c r="S173" s="175"/>
      <c r="T173" s="175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</row>
    <row r="174" spans="18:46" s="54" customFormat="1" x14ac:dyDescent="0.25">
      <c r="R174" s="175"/>
      <c r="S174" s="175"/>
      <c r="T174" s="175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</row>
    <row r="175" spans="18:46" s="54" customFormat="1" x14ac:dyDescent="0.25">
      <c r="R175" s="175"/>
      <c r="S175" s="175"/>
      <c r="T175" s="175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</row>
    <row r="176" spans="18:46" s="54" customFormat="1" x14ac:dyDescent="0.25">
      <c r="R176" s="175"/>
      <c r="S176" s="175"/>
      <c r="T176" s="175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</row>
    <row r="177" spans="18:46" s="54" customFormat="1" x14ac:dyDescent="0.25">
      <c r="R177" s="175"/>
      <c r="S177" s="175"/>
      <c r="T177" s="175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</row>
    <row r="178" spans="18:46" s="54" customFormat="1" x14ac:dyDescent="0.25">
      <c r="R178" s="175"/>
      <c r="S178" s="175"/>
      <c r="T178" s="175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</row>
    <row r="179" spans="18:46" s="54" customFormat="1" x14ac:dyDescent="0.25">
      <c r="R179" s="175"/>
      <c r="S179" s="175"/>
      <c r="T179" s="175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</row>
    <row r="180" spans="18:46" s="54" customFormat="1" x14ac:dyDescent="0.25">
      <c r="R180" s="175"/>
      <c r="S180" s="175"/>
      <c r="T180" s="175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</row>
    <row r="181" spans="18:46" s="54" customFormat="1" x14ac:dyDescent="0.25">
      <c r="R181" s="175"/>
      <c r="S181" s="175"/>
      <c r="T181" s="175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</row>
    <row r="182" spans="18:46" s="54" customFormat="1" x14ac:dyDescent="0.25">
      <c r="R182" s="175"/>
      <c r="S182" s="175"/>
      <c r="T182" s="175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</row>
    <row r="183" spans="18:46" s="54" customFormat="1" x14ac:dyDescent="0.25">
      <c r="R183" s="175"/>
      <c r="S183" s="175"/>
      <c r="T183" s="175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</row>
    <row r="184" spans="18:46" s="54" customFormat="1" x14ac:dyDescent="0.25">
      <c r="R184" s="175"/>
      <c r="S184" s="175"/>
      <c r="T184" s="175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</row>
    <row r="185" spans="18:46" s="54" customFormat="1" x14ac:dyDescent="0.25">
      <c r="R185" s="175"/>
      <c r="S185" s="175"/>
      <c r="T185" s="175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</row>
    <row r="186" spans="18:46" s="54" customFormat="1" x14ac:dyDescent="0.25">
      <c r="R186" s="175"/>
      <c r="S186" s="175"/>
      <c r="T186" s="175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</row>
    <row r="187" spans="18:46" s="54" customFormat="1" x14ac:dyDescent="0.25">
      <c r="R187" s="175"/>
      <c r="S187" s="175"/>
      <c r="T187" s="175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</row>
    <row r="188" spans="18:46" s="54" customFormat="1" x14ac:dyDescent="0.25">
      <c r="R188" s="175"/>
      <c r="S188" s="175"/>
      <c r="T188" s="175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</row>
    <row r="189" spans="18:46" s="54" customFormat="1" x14ac:dyDescent="0.25">
      <c r="R189" s="175"/>
      <c r="S189" s="175"/>
      <c r="T189" s="175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</row>
    <row r="190" spans="18:46" s="54" customFormat="1" x14ac:dyDescent="0.25">
      <c r="R190" s="175"/>
      <c r="S190" s="175"/>
      <c r="T190" s="175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</row>
    <row r="191" spans="18:46" s="54" customFormat="1" x14ac:dyDescent="0.25">
      <c r="R191" s="175"/>
      <c r="S191" s="175"/>
      <c r="T191" s="175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</row>
    <row r="192" spans="18:46" s="54" customFormat="1" x14ac:dyDescent="0.25">
      <c r="R192" s="175"/>
      <c r="S192" s="175"/>
      <c r="T192" s="175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</row>
    <row r="193" spans="18:46" s="54" customFormat="1" x14ac:dyDescent="0.25">
      <c r="R193" s="175"/>
      <c r="S193" s="175"/>
      <c r="T193" s="175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</row>
    <row r="194" spans="18:46" s="54" customFormat="1" x14ac:dyDescent="0.25">
      <c r="R194" s="175"/>
      <c r="S194" s="175"/>
      <c r="T194" s="175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</row>
    <row r="195" spans="18:46" s="54" customFormat="1" x14ac:dyDescent="0.25">
      <c r="R195" s="175"/>
      <c r="S195" s="175"/>
      <c r="T195" s="175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</row>
    <row r="196" spans="18:46" s="54" customFormat="1" x14ac:dyDescent="0.25">
      <c r="R196" s="175"/>
      <c r="S196" s="175"/>
      <c r="T196" s="175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</row>
    <row r="197" spans="18:46" s="54" customFormat="1" x14ac:dyDescent="0.25">
      <c r="R197" s="175"/>
      <c r="S197" s="175"/>
      <c r="T197" s="175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</row>
    <row r="198" spans="18:46" s="54" customFormat="1" x14ac:dyDescent="0.25">
      <c r="R198" s="175"/>
      <c r="S198" s="175"/>
      <c r="T198" s="175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</row>
    <row r="199" spans="18:46" s="54" customFormat="1" x14ac:dyDescent="0.25">
      <c r="R199" s="175"/>
      <c r="S199" s="175"/>
      <c r="T199" s="175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</row>
    <row r="200" spans="18:46" s="54" customFormat="1" x14ac:dyDescent="0.25">
      <c r="R200" s="175"/>
      <c r="S200" s="175"/>
      <c r="T200" s="175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</row>
    <row r="201" spans="18:46" s="54" customFormat="1" x14ac:dyDescent="0.25">
      <c r="R201" s="175"/>
      <c r="S201" s="175"/>
      <c r="T201" s="175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</row>
    <row r="202" spans="18:46" s="54" customFormat="1" x14ac:dyDescent="0.25">
      <c r="R202" s="175"/>
      <c r="S202" s="175"/>
      <c r="T202" s="175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</row>
    <row r="203" spans="18:46" s="54" customFormat="1" x14ac:dyDescent="0.25">
      <c r="R203" s="175"/>
      <c r="S203" s="175"/>
      <c r="T203" s="175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</row>
    <row r="204" spans="18:46" s="54" customFormat="1" x14ac:dyDescent="0.25">
      <c r="R204" s="175"/>
      <c r="S204" s="175"/>
      <c r="T204" s="175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  <c r="AT204" s="90"/>
    </row>
    <row r="205" spans="18:46" s="54" customFormat="1" x14ac:dyDescent="0.25">
      <c r="R205" s="175"/>
      <c r="S205" s="175"/>
      <c r="T205" s="175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</row>
    <row r="206" spans="18:46" s="54" customFormat="1" x14ac:dyDescent="0.25">
      <c r="R206" s="175"/>
      <c r="S206" s="175"/>
      <c r="T206" s="175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  <c r="AT206" s="90"/>
    </row>
    <row r="207" spans="18:46" s="54" customFormat="1" x14ac:dyDescent="0.25">
      <c r="R207" s="175"/>
      <c r="S207" s="175"/>
      <c r="T207" s="175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</row>
    <row r="208" spans="18:46" s="54" customFormat="1" x14ac:dyDescent="0.25">
      <c r="R208" s="175"/>
      <c r="S208" s="175"/>
      <c r="T208" s="175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  <c r="AT208" s="90"/>
    </row>
    <row r="209" spans="18:46" s="54" customFormat="1" x14ac:dyDescent="0.25">
      <c r="R209" s="175"/>
      <c r="S209" s="175"/>
      <c r="T209" s="175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</row>
    <row r="210" spans="18:46" s="54" customFormat="1" x14ac:dyDescent="0.25">
      <c r="R210" s="175"/>
      <c r="S210" s="175"/>
      <c r="T210" s="175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</row>
    <row r="211" spans="18:46" s="54" customFormat="1" x14ac:dyDescent="0.25">
      <c r="R211" s="175"/>
      <c r="S211" s="175"/>
      <c r="T211" s="175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</row>
    <row r="212" spans="18:46" s="54" customFormat="1" x14ac:dyDescent="0.25">
      <c r="R212" s="175"/>
      <c r="S212" s="175"/>
      <c r="T212" s="175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</row>
    <row r="213" spans="18:46" s="54" customFormat="1" x14ac:dyDescent="0.25">
      <c r="R213" s="175"/>
      <c r="S213" s="175"/>
      <c r="T213" s="175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</row>
    <row r="214" spans="18:46" s="54" customFormat="1" x14ac:dyDescent="0.25">
      <c r="R214" s="175"/>
      <c r="S214" s="175"/>
      <c r="T214" s="175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90"/>
    </row>
    <row r="215" spans="18:46" s="54" customFormat="1" x14ac:dyDescent="0.25">
      <c r="R215" s="175"/>
      <c r="S215" s="175"/>
      <c r="T215" s="175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</row>
    <row r="216" spans="18:46" s="54" customFormat="1" x14ac:dyDescent="0.25">
      <c r="R216" s="175"/>
      <c r="S216" s="175"/>
      <c r="T216" s="175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  <c r="AT216" s="90"/>
    </row>
    <row r="217" spans="18:46" s="54" customFormat="1" x14ac:dyDescent="0.25">
      <c r="R217" s="175"/>
      <c r="S217" s="175"/>
      <c r="T217" s="175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</row>
    <row r="218" spans="18:46" s="54" customFormat="1" x14ac:dyDescent="0.25">
      <c r="R218" s="175"/>
      <c r="S218" s="175"/>
      <c r="T218" s="175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</row>
    <row r="219" spans="18:46" s="54" customFormat="1" x14ac:dyDescent="0.25">
      <c r="R219" s="175"/>
      <c r="S219" s="175"/>
      <c r="T219" s="175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</row>
    <row r="220" spans="18:46" s="54" customFormat="1" x14ac:dyDescent="0.25">
      <c r="R220" s="175"/>
      <c r="S220" s="175"/>
      <c r="T220" s="175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</row>
    <row r="221" spans="18:46" s="54" customFormat="1" x14ac:dyDescent="0.25">
      <c r="R221" s="175"/>
      <c r="S221" s="175"/>
      <c r="T221" s="175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</row>
    <row r="222" spans="18:46" s="54" customFormat="1" x14ac:dyDescent="0.25">
      <c r="R222" s="175"/>
      <c r="S222" s="175"/>
      <c r="T222" s="175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</row>
    <row r="223" spans="18:46" s="54" customFormat="1" x14ac:dyDescent="0.25">
      <c r="R223" s="175"/>
      <c r="S223" s="175"/>
      <c r="T223" s="175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</row>
    <row r="224" spans="18:46" s="54" customFormat="1" x14ac:dyDescent="0.25">
      <c r="R224" s="175"/>
      <c r="S224" s="175"/>
      <c r="T224" s="175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  <c r="AT224" s="90"/>
    </row>
    <row r="225" spans="18:46" s="54" customFormat="1" x14ac:dyDescent="0.25">
      <c r="R225" s="175"/>
      <c r="S225" s="175"/>
      <c r="T225" s="175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</row>
    <row r="226" spans="18:46" s="54" customFormat="1" x14ac:dyDescent="0.25">
      <c r="R226" s="175"/>
      <c r="S226" s="175"/>
      <c r="T226" s="175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</row>
    <row r="227" spans="18:46" s="54" customFormat="1" x14ac:dyDescent="0.25">
      <c r="R227" s="175"/>
      <c r="S227" s="175"/>
      <c r="T227" s="175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</row>
    <row r="228" spans="18:46" s="54" customFormat="1" x14ac:dyDescent="0.25">
      <c r="R228" s="175"/>
      <c r="S228" s="175"/>
      <c r="T228" s="175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  <c r="AT228" s="90"/>
    </row>
    <row r="229" spans="18:46" s="54" customFormat="1" x14ac:dyDescent="0.25">
      <c r="R229" s="175"/>
      <c r="S229" s="175"/>
      <c r="T229" s="175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  <c r="AT229" s="90"/>
    </row>
    <row r="230" spans="18:46" s="54" customFormat="1" x14ac:dyDescent="0.25">
      <c r="R230" s="175"/>
      <c r="S230" s="175"/>
      <c r="T230" s="175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  <c r="AT230" s="90"/>
    </row>
    <row r="231" spans="18:46" s="54" customFormat="1" x14ac:dyDescent="0.25">
      <c r="R231" s="175"/>
      <c r="S231" s="175"/>
      <c r="T231" s="175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</row>
    <row r="232" spans="18:46" s="54" customFormat="1" x14ac:dyDescent="0.25">
      <c r="R232" s="175"/>
      <c r="S232" s="175"/>
      <c r="T232" s="175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</row>
    <row r="233" spans="18:46" s="54" customFormat="1" x14ac:dyDescent="0.25">
      <c r="R233" s="175"/>
      <c r="S233" s="175"/>
      <c r="T233" s="175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</row>
    <row r="234" spans="18:46" s="54" customFormat="1" x14ac:dyDescent="0.25">
      <c r="R234" s="175"/>
      <c r="S234" s="175"/>
      <c r="T234" s="175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  <c r="AT234" s="90"/>
    </row>
    <row r="235" spans="18:46" s="54" customFormat="1" x14ac:dyDescent="0.25">
      <c r="R235" s="175"/>
      <c r="S235" s="175"/>
      <c r="T235" s="175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  <c r="AT235" s="90"/>
    </row>
    <row r="236" spans="18:46" s="54" customFormat="1" x14ac:dyDescent="0.25">
      <c r="R236" s="175"/>
      <c r="S236" s="175"/>
      <c r="T236" s="175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  <c r="AT236" s="90"/>
    </row>
    <row r="237" spans="18:46" s="54" customFormat="1" x14ac:dyDescent="0.25">
      <c r="R237" s="175"/>
      <c r="S237" s="175"/>
      <c r="T237" s="175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</row>
    <row r="238" spans="18:46" s="54" customFormat="1" x14ac:dyDescent="0.25">
      <c r="R238" s="175"/>
      <c r="S238" s="175"/>
      <c r="T238" s="175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  <c r="AT238" s="90"/>
    </row>
    <row r="239" spans="18:46" s="54" customFormat="1" x14ac:dyDescent="0.25">
      <c r="R239" s="175"/>
      <c r="S239" s="175"/>
      <c r="T239" s="175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</row>
    <row r="240" spans="18:46" s="54" customFormat="1" x14ac:dyDescent="0.25">
      <c r="R240" s="175"/>
      <c r="S240" s="175"/>
      <c r="T240" s="175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  <c r="AT240" s="90"/>
    </row>
    <row r="241" spans="18:46" s="54" customFormat="1" x14ac:dyDescent="0.25">
      <c r="R241" s="175"/>
      <c r="S241" s="175"/>
      <c r="T241" s="175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  <c r="AT241" s="90"/>
    </row>
    <row r="242" spans="18:46" s="54" customFormat="1" x14ac:dyDescent="0.25">
      <c r="R242" s="175"/>
      <c r="S242" s="175"/>
      <c r="T242" s="175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</row>
    <row r="243" spans="18:46" s="54" customFormat="1" x14ac:dyDescent="0.25">
      <c r="R243" s="175"/>
      <c r="S243" s="175"/>
      <c r="T243" s="175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</row>
    <row r="244" spans="18:46" s="54" customFormat="1" x14ac:dyDescent="0.25">
      <c r="R244" s="175"/>
      <c r="S244" s="175"/>
      <c r="T244" s="175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  <c r="AT244" s="90"/>
    </row>
    <row r="245" spans="18:46" s="54" customFormat="1" x14ac:dyDescent="0.25">
      <c r="R245" s="175"/>
      <c r="S245" s="175"/>
      <c r="T245" s="175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</row>
    <row r="246" spans="18:46" s="54" customFormat="1" x14ac:dyDescent="0.25">
      <c r="R246" s="175"/>
      <c r="S246" s="175"/>
      <c r="T246" s="175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  <c r="AT246" s="90"/>
    </row>
    <row r="247" spans="18:46" s="54" customFormat="1" x14ac:dyDescent="0.25">
      <c r="R247" s="175"/>
      <c r="S247" s="175"/>
      <c r="T247" s="175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  <c r="AT247" s="90"/>
    </row>
    <row r="248" spans="18:46" s="54" customFormat="1" x14ac:dyDescent="0.25">
      <c r="R248" s="175"/>
      <c r="S248" s="175"/>
      <c r="T248" s="175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</row>
    <row r="249" spans="18:46" s="54" customFormat="1" x14ac:dyDescent="0.25">
      <c r="R249" s="175"/>
      <c r="S249" s="175"/>
      <c r="T249" s="175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</row>
    <row r="250" spans="18:46" s="54" customFormat="1" x14ac:dyDescent="0.25">
      <c r="R250" s="175"/>
      <c r="S250" s="175"/>
      <c r="T250" s="175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</row>
    <row r="251" spans="18:46" s="54" customFormat="1" x14ac:dyDescent="0.25">
      <c r="R251" s="175"/>
      <c r="S251" s="175"/>
      <c r="T251" s="175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</row>
    <row r="252" spans="18:46" s="54" customFormat="1" x14ac:dyDescent="0.25">
      <c r="R252" s="175"/>
      <c r="S252" s="175"/>
      <c r="T252" s="175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</row>
    <row r="253" spans="18:46" s="54" customFormat="1" x14ac:dyDescent="0.25">
      <c r="R253" s="175"/>
      <c r="S253" s="175"/>
      <c r="T253" s="175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</row>
    <row r="254" spans="18:46" s="54" customFormat="1" x14ac:dyDescent="0.25">
      <c r="R254" s="175"/>
      <c r="S254" s="175"/>
      <c r="T254" s="175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</row>
    <row r="255" spans="18:46" s="54" customFormat="1" x14ac:dyDescent="0.25">
      <c r="R255" s="175"/>
      <c r="S255" s="175"/>
      <c r="T255" s="175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</row>
    <row r="256" spans="18:46" s="54" customFormat="1" x14ac:dyDescent="0.25">
      <c r="R256" s="175"/>
      <c r="S256" s="175"/>
      <c r="T256" s="175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</row>
    <row r="257" spans="18:46" s="54" customFormat="1" x14ac:dyDescent="0.25">
      <c r="R257" s="175"/>
      <c r="S257" s="175"/>
      <c r="T257" s="175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</row>
    <row r="258" spans="18:46" s="54" customFormat="1" x14ac:dyDescent="0.25">
      <c r="R258" s="175"/>
      <c r="S258" s="175"/>
      <c r="T258" s="175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</row>
    <row r="259" spans="18:46" s="54" customFormat="1" x14ac:dyDescent="0.25">
      <c r="R259" s="175"/>
      <c r="S259" s="175"/>
      <c r="T259" s="175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</row>
    <row r="260" spans="18:46" s="54" customFormat="1" x14ac:dyDescent="0.25">
      <c r="R260" s="175"/>
      <c r="S260" s="175"/>
      <c r="T260" s="175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</row>
    <row r="261" spans="18:46" s="54" customFormat="1" x14ac:dyDescent="0.25">
      <c r="R261" s="175"/>
      <c r="S261" s="175"/>
      <c r="T261" s="175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</row>
    <row r="262" spans="18:46" s="54" customFormat="1" x14ac:dyDescent="0.25">
      <c r="R262" s="175"/>
      <c r="S262" s="175"/>
      <c r="T262" s="175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</row>
    <row r="263" spans="18:46" s="54" customFormat="1" x14ac:dyDescent="0.25">
      <c r="R263" s="175"/>
      <c r="S263" s="175"/>
      <c r="T263" s="175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</row>
    <row r="264" spans="18:46" s="54" customFormat="1" x14ac:dyDescent="0.25">
      <c r="R264" s="175"/>
      <c r="S264" s="175"/>
      <c r="T264" s="175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</row>
    <row r="265" spans="18:46" s="54" customFormat="1" x14ac:dyDescent="0.25">
      <c r="R265" s="175"/>
      <c r="S265" s="175"/>
      <c r="T265" s="175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</row>
    <row r="266" spans="18:46" s="54" customFormat="1" x14ac:dyDescent="0.25">
      <c r="R266" s="175"/>
      <c r="S266" s="175"/>
      <c r="T266" s="175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</row>
    <row r="267" spans="18:46" s="54" customFormat="1" x14ac:dyDescent="0.25">
      <c r="R267" s="175"/>
      <c r="S267" s="175"/>
      <c r="T267" s="175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</row>
    <row r="268" spans="18:46" s="54" customFormat="1" x14ac:dyDescent="0.25">
      <c r="R268" s="175"/>
      <c r="S268" s="175"/>
      <c r="T268" s="175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  <c r="AT268" s="90"/>
    </row>
    <row r="269" spans="18:46" s="54" customFormat="1" x14ac:dyDescent="0.25">
      <c r="R269" s="175"/>
      <c r="S269" s="175"/>
      <c r="T269" s="175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  <c r="AT269" s="90"/>
    </row>
    <row r="270" spans="18:46" s="54" customFormat="1" x14ac:dyDescent="0.25">
      <c r="R270" s="175"/>
      <c r="S270" s="175"/>
      <c r="T270" s="175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</row>
    <row r="271" spans="18:46" s="54" customFormat="1" x14ac:dyDescent="0.25">
      <c r="R271" s="175"/>
      <c r="S271" s="175"/>
      <c r="T271" s="175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</row>
    <row r="272" spans="18:46" s="54" customFormat="1" x14ac:dyDescent="0.25">
      <c r="R272" s="175"/>
      <c r="S272" s="175"/>
      <c r="T272" s="175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</row>
    <row r="273" spans="18:46" s="54" customFormat="1" x14ac:dyDescent="0.25">
      <c r="R273" s="175"/>
      <c r="S273" s="175"/>
      <c r="T273" s="175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</row>
    <row r="274" spans="18:46" s="54" customFormat="1" x14ac:dyDescent="0.25">
      <c r="R274" s="175"/>
      <c r="S274" s="175"/>
      <c r="T274" s="175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</row>
    <row r="275" spans="18:46" s="54" customFormat="1" x14ac:dyDescent="0.25">
      <c r="R275" s="175"/>
      <c r="S275" s="175"/>
      <c r="T275" s="175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</row>
    <row r="276" spans="18:46" s="54" customFormat="1" x14ac:dyDescent="0.25">
      <c r="R276" s="175"/>
      <c r="S276" s="175"/>
      <c r="T276" s="175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</row>
    <row r="277" spans="18:46" s="54" customFormat="1" x14ac:dyDescent="0.25">
      <c r="R277" s="175"/>
      <c r="S277" s="175"/>
      <c r="T277" s="175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</row>
    <row r="278" spans="18:46" s="54" customFormat="1" x14ac:dyDescent="0.25">
      <c r="R278" s="175"/>
      <c r="S278" s="175"/>
      <c r="T278" s="175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</row>
    <row r="279" spans="18:46" s="54" customFormat="1" x14ac:dyDescent="0.25">
      <c r="R279" s="175"/>
      <c r="S279" s="175"/>
      <c r="T279" s="175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</row>
    <row r="280" spans="18:46" s="54" customFormat="1" x14ac:dyDescent="0.25">
      <c r="R280" s="175"/>
      <c r="S280" s="175"/>
      <c r="T280" s="175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</row>
    <row r="281" spans="18:46" s="54" customFormat="1" x14ac:dyDescent="0.25">
      <c r="R281" s="175"/>
      <c r="S281" s="175"/>
      <c r="T281" s="175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</row>
    <row r="282" spans="18:46" s="54" customFormat="1" x14ac:dyDescent="0.25">
      <c r="R282" s="175"/>
      <c r="S282" s="175"/>
      <c r="T282" s="175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</row>
    <row r="283" spans="18:46" s="54" customFormat="1" x14ac:dyDescent="0.25">
      <c r="R283" s="175"/>
      <c r="S283" s="175"/>
      <c r="T283" s="175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</row>
    <row r="284" spans="18:46" s="54" customFormat="1" x14ac:dyDescent="0.25">
      <c r="R284" s="175"/>
      <c r="S284" s="175"/>
      <c r="T284" s="175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</row>
    <row r="285" spans="18:46" s="54" customFormat="1" x14ac:dyDescent="0.25">
      <c r="R285" s="175"/>
      <c r="S285" s="175"/>
      <c r="T285" s="175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</row>
    <row r="286" spans="18:46" s="54" customFormat="1" x14ac:dyDescent="0.25">
      <c r="R286" s="175"/>
      <c r="S286" s="175"/>
      <c r="T286" s="175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</row>
    <row r="287" spans="18:46" s="54" customFormat="1" x14ac:dyDescent="0.25">
      <c r="R287" s="175"/>
      <c r="S287" s="175"/>
      <c r="T287" s="175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</row>
    <row r="288" spans="18:46" s="54" customFormat="1" x14ac:dyDescent="0.25">
      <c r="R288" s="175"/>
      <c r="S288" s="175"/>
      <c r="T288" s="175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</row>
    <row r="289" spans="18:46" s="54" customFormat="1" x14ac:dyDescent="0.25">
      <c r="R289" s="175"/>
      <c r="S289" s="175"/>
      <c r="T289" s="175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</row>
    <row r="290" spans="18:46" s="54" customFormat="1" x14ac:dyDescent="0.25">
      <c r="R290" s="175"/>
      <c r="S290" s="175"/>
      <c r="T290" s="175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  <c r="AT290" s="90"/>
    </row>
    <row r="291" spans="18:46" s="54" customFormat="1" x14ac:dyDescent="0.25">
      <c r="R291" s="175"/>
      <c r="S291" s="175"/>
      <c r="T291" s="175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  <c r="AT291" s="90"/>
    </row>
    <row r="292" spans="18:46" s="54" customFormat="1" x14ac:dyDescent="0.25">
      <c r="R292" s="175"/>
      <c r="S292" s="175"/>
      <c r="T292" s="175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</row>
    <row r="293" spans="18:46" s="54" customFormat="1" x14ac:dyDescent="0.25">
      <c r="R293" s="175"/>
      <c r="S293" s="175"/>
      <c r="T293" s="175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</row>
    <row r="294" spans="18:46" s="54" customFormat="1" x14ac:dyDescent="0.25">
      <c r="R294" s="175"/>
      <c r="S294" s="175"/>
      <c r="T294" s="175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</row>
    <row r="295" spans="18:46" s="54" customFormat="1" x14ac:dyDescent="0.25">
      <c r="R295" s="175"/>
      <c r="S295" s="175"/>
      <c r="T295" s="175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</row>
    <row r="296" spans="18:46" s="54" customFormat="1" x14ac:dyDescent="0.25">
      <c r="R296" s="175"/>
      <c r="S296" s="175"/>
      <c r="T296" s="175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</row>
    <row r="297" spans="18:46" s="54" customFormat="1" x14ac:dyDescent="0.25">
      <c r="R297" s="175"/>
      <c r="S297" s="175"/>
      <c r="T297" s="175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</row>
    <row r="298" spans="18:46" s="54" customFormat="1" x14ac:dyDescent="0.25">
      <c r="R298" s="175"/>
      <c r="S298" s="175"/>
      <c r="T298" s="175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</row>
    <row r="299" spans="18:46" s="54" customFormat="1" x14ac:dyDescent="0.25">
      <c r="R299" s="175"/>
      <c r="S299" s="175"/>
      <c r="T299" s="175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</row>
    <row r="300" spans="18:46" s="54" customFormat="1" x14ac:dyDescent="0.25">
      <c r="R300" s="175"/>
      <c r="S300" s="175"/>
      <c r="T300" s="175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</row>
    <row r="301" spans="18:46" s="54" customFormat="1" x14ac:dyDescent="0.25">
      <c r="R301" s="175"/>
      <c r="S301" s="175"/>
      <c r="T301" s="175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</row>
    <row r="302" spans="18:46" s="54" customFormat="1" x14ac:dyDescent="0.25">
      <c r="R302" s="175"/>
      <c r="S302" s="175"/>
      <c r="T302" s="175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</row>
    <row r="303" spans="18:46" s="54" customFormat="1" x14ac:dyDescent="0.25">
      <c r="R303" s="175"/>
      <c r="S303" s="175"/>
      <c r="T303" s="175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</row>
    <row r="304" spans="18:46" s="54" customFormat="1" x14ac:dyDescent="0.25">
      <c r="R304" s="175"/>
      <c r="S304" s="175"/>
      <c r="T304" s="175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</row>
    <row r="305" spans="18:46" s="54" customFormat="1" x14ac:dyDescent="0.25">
      <c r="R305" s="175"/>
      <c r="S305" s="175"/>
      <c r="T305" s="175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</row>
    <row r="306" spans="18:46" s="54" customFormat="1" x14ac:dyDescent="0.25">
      <c r="R306" s="175"/>
      <c r="S306" s="175"/>
      <c r="T306" s="175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</row>
    <row r="307" spans="18:46" s="54" customFormat="1" x14ac:dyDescent="0.25">
      <c r="R307" s="175"/>
      <c r="S307" s="175"/>
      <c r="T307" s="175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</row>
    <row r="308" spans="18:46" s="54" customFormat="1" x14ac:dyDescent="0.25">
      <c r="R308" s="175"/>
      <c r="S308" s="175"/>
      <c r="T308" s="175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</row>
    <row r="309" spans="18:46" s="54" customFormat="1" x14ac:dyDescent="0.25">
      <c r="R309" s="175"/>
      <c r="S309" s="175"/>
      <c r="T309" s="175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</row>
    <row r="310" spans="18:46" s="54" customFormat="1" x14ac:dyDescent="0.25">
      <c r="R310" s="175"/>
      <c r="S310" s="175"/>
      <c r="T310" s="175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</row>
    <row r="311" spans="18:46" s="54" customFormat="1" x14ac:dyDescent="0.25">
      <c r="R311" s="175"/>
      <c r="S311" s="175"/>
      <c r="T311" s="175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</row>
    <row r="312" spans="18:46" s="54" customFormat="1" x14ac:dyDescent="0.25">
      <c r="R312" s="175"/>
      <c r="S312" s="175"/>
      <c r="T312" s="175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  <c r="AT312" s="90"/>
    </row>
    <row r="313" spans="18:46" s="54" customFormat="1" x14ac:dyDescent="0.25">
      <c r="R313" s="175"/>
      <c r="S313" s="175"/>
      <c r="T313" s="175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  <c r="AT313" s="90"/>
    </row>
    <row r="314" spans="18:46" s="54" customFormat="1" x14ac:dyDescent="0.25">
      <c r="R314" s="175"/>
      <c r="S314" s="175"/>
      <c r="T314" s="175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</row>
    <row r="315" spans="18:46" s="54" customFormat="1" x14ac:dyDescent="0.25">
      <c r="R315" s="175"/>
      <c r="S315" s="175"/>
      <c r="T315" s="175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</row>
    <row r="316" spans="18:46" s="54" customFormat="1" x14ac:dyDescent="0.25">
      <c r="R316" s="175"/>
      <c r="S316" s="175"/>
      <c r="T316" s="175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</row>
    <row r="317" spans="18:46" s="54" customFormat="1" x14ac:dyDescent="0.25">
      <c r="R317" s="175"/>
      <c r="S317" s="175"/>
      <c r="T317" s="175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</row>
    <row r="318" spans="18:46" s="54" customFormat="1" x14ac:dyDescent="0.25">
      <c r="R318" s="175"/>
      <c r="S318" s="175"/>
      <c r="T318" s="175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</row>
    <row r="319" spans="18:46" s="54" customFormat="1" x14ac:dyDescent="0.25">
      <c r="R319" s="175"/>
      <c r="S319" s="175"/>
      <c r="T319" s="175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</row>
    <row r="320" spans="18:46" s="54" customFormat="1" x14ac:dyDescent="0.25">
      <c r="R320" s="175"/>
      <c r="S320" s="175"/>
      <c r="T320" s="175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  <c r="AT320" s="90"/>
    </row>
    <row r="321" spans="18:46" s="54" customFormat="1" x14ac:dyDescent="0.25">
      <c r="R321" s="175"/>
      <c r="S321" s="175"/>
      <c r="T321" s="175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  <c r="AT321" s="90"/>
    </row>
    <row r="322" spans="18:46" s="54" customFormat="1" x14ac:dyDescent="0.25">
      <c r="R322" s="175"/>
      <c r="S322" s="175"/>
      <c r="T322" s="175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  <c r="AT322" s="90"/>
    </row>
    <row r="323" spans="18:46" s="54" customFormat="1" x14ac:dyDescent="0.25">
      <c r="R323" s="175"/>
      <c r="S323" s="175"/>
      <c r="T323" s="175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  <c r="AT323" s="90"/>
    </row>
    <row r="324" spans="18:46" s="54" customFormat="1" x14ac:dyDescent="0.25">
      <c r="R324" s="175"/>
      <c r="S324" s="175"/>
      <c r="T324" s="175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  <c r="AT324" s="90"/>
    </row>
    <row r="325" spans="18:46" s="54" customFormat="1" x14ac:dyDescent="0.25">
      <c r="R325" s="175"/>
      <c r="S325" s="175"/>
      <c r="T325" s="175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  <c r="AT325" s="90"/>
    </row>
    <row r="326" spans="18:46" s="54" customFormat="1" x14ac:dyDescent="0.25">
      <c r="R326" s="175"/>
      <c r="S326" s="175"/>
      <c r="T326" s="175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  <c r="AT326" s="90"/>
    </row>
    <row r="327" spans="18:46" s="54" customFormat="1" x14ac:dyDescent="0.25">
      <c r="R327" s="175"/>
      <c r="S327" s="175"/>
      <c r="T327" s="175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  <c r="AT327" s="90"/>
    </row>
    <row r="328" spans="18:46" s="54" customFormat="1" x14ac:dyDescent="0.25">
      <c r="R328" s="175"/>
      <c r="S328" s="175"/>
      <c r="T328" s="175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  <c r="AT328" s="90"/>
    </row>
    <row r="329" spans="18:46" s="54" customFormat="1" x14ac:dyDescent="0.25">
      <c r="R329" s="175"/>
      <c r="S329" s="175"/>
      <c r="T329" s="175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  <c r="AT329" s="90"/>
    </row>
    <row r="330" spans="18:46" s="54" customFormat="1" x14ac:dyDescent="0.25">
      <c r="R330" s="175"/>
      <c r="S330" s="175"/>
      <c r="T330" s="175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  <c r="AT330" s="90"/>
    </row>
    <row r="331" spans="18:46" s="54" customFormat="1" x14ac:dyDescent="0.25">
      <c r="R331" s="175"/>
      <c r="S331" s="175"/>
      <c r="T331" s="175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  <c r="AT331" s="90"/>
    </row>
    <row r="332" spans="18:46" s="54" customFormat="1" x14ac:dyDescent="0.25">
      <c r="R332" s="175"/>
      <c r="S332" s="175"/>
      <c r="T332" s="175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  <c r="AT332" s="90"/>
    </row>
    <row r="333" spans="18:46" s="54" customFormat="1" x14ac:dyDescent="0.25">
      <c r="R333" s="175"/>
      <c r="S333" s="175"/>
      <c r="T333" s="175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  <c r="AT333" s="90"/>
    </row>
    <row r="334" spans="18:46" s="54" customFormat="1" x14ac:dyDescent="0.25">
      <c r="R334" s="175"/>
      <c r="S334" s="175"/>
      <c r="T334" s="175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  <c r="AT334" s="90"/>
    </row>
    <row r="335" spans="18:46" s="54" customFormat="1" x14ac:dyDescent="0.25">
      <c r="R335" s="175"/>
      <c r="S335" s="175"/>
      <c r="T335" s="175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  <c r="AT335" s="90"/>
    </row>
    <row r="336" spans="18:46" s="54" customFormat="1" x14ac:dyDescent="0.25">
      <c r="R336" s="175"/>
      <c r="S336" s="175"/>
      <c r="T336" s="175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  <c r="AT336" s="90"/>
    </row>
    <row r="337" spans="18:46" s="54" customFormat="1" x14ac:dyDescent="0.25">
      <c r="R337" s="175"/>
      <c r="S337" s="175"/>
      <c r="T337" s="175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  <c r="AT337" s="90"/>
    </row>
    <row r="338" spans="18:46" s="54" customFormat="1" x14ac:dyDescent="0.25">
      <c r="R338" s="175"/>
      <c r="S338" s="175"/>
      <c r="T338" s="175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  <c r="AT338" s="90"/>
    </row>
    <row r="339" spans="18:46" s="54" customFormat="1" x14ac:dyDescent="0.25">
      <c r="R339" s="175"/>
      <c r="S339" s="175"/>
      <c r="T339" s="175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  <c r="AT339" s="90"/>
    </row>
    <row r="340" spans="18:46" s="54" customFormat="1" x14ac:dyDescent="0.25">
      <c r="R340" s="175"/>
      <c r="S340" s="175"/>
      <c r="T340" s="175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  <c r="AT340" s="90"/>
    </row>
    <row r="341" spans="18:46" s="54" customFormat="1" x14ac:dyDescent="0.25">
      <c r="R341" s="175"/>
      <c r="S341" s="175"/>
      <c r="T341" s="175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  <c r="AT341" s="90"/>
    </row>
    <row r="342" spans="18:46" s="54" customFormat="1" x14ac:dyDescent="0.25">
      <c r="R342" s="175"/>
      <c r="S342" s="175"/>
      <c r="T342" s="175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  <c r="AT342" s="90"/>
    </row>
    <row r="343" spans="18:46" s="54" customFormat="1" x14ac:dyDescent="0.25">
      <c r="R343" s="175"/>
      <c r="S343" s="175"/>
      <c r="T343" s="175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  <c r="AT343" s="90"/>
    </row>
    <row r="344" spans="18:46" s="54" customFormat="1" x14ac:dyDescent="0.25">
      <c r="R344" s="175"/>
      <c r="S344" s="175"/>
      <c r="T344" s="175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  <c r="AT344" s="90"/>
    </row>
    <row r="345" spans="18:46" s="54" customFormat="1" x14ac:dyDescent="0.25">
      <c r="R345" s="175"/>
      <c r="S345" s="175"/>
      <c r="T345" s="175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  <c r="AT345" s="90"/>
    </row>
    <row r="346" spans="18:46" s="54" customFormat="1" x14ac:dyDescent="0.25">
      <c r="R346" s="175"/>
      <c r="S346" s="175"/>
      <c r="T346" s="175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  <c r="AT346" s="90"/>
    </row>
    <row r="347" spans="18:46" s="54" customFormat="1" x14ac:dyDescent="0.25">
      <c r="R347" s="175"/>
      <c r="S347" s="175"/>
      <c r="T347" s="175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  <c r="AT347" s="90"/>
    </row>
    <row r="348" spans="18:46" s="54" customFormat="1" x14ac:dyDescent="0.25">
      <c r="R348" s="175"/>
      <c r="S348" s="175"/>
      <c r="T348" s="175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  <c r="AT348" s="90"/>
    </row>
    <row r="349" spans="18:46" s="54" customFormat="1" x14ac:dyDescent="0.25">
      <c r="R349" s="175"/>
      <c r="S349" s="175"/>
      <c r="T349" s="175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  <c r="AT349" s="90"/>
    </row>
    <row r="350" spans="18:46" s="54" customFormat="1" x14ac:dyDescent="0.25">
      <c r="R350" s="175"/>
      <c r="S350" s="175"/>
      <c r="T350" s="175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  <c r="AT350" s="90"/>
    </row>
    <row r="351" spans="18:46" s="54" customFormat="1" x14ac:dyDescent="0.25">
      <c r="R351" s="175"/>
      <c r="S351" s="175"/>
      <c r="T351" s="175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  <c r="AT351" s="90"/>
    </row>
    <row r="352" spans="18:46" s="54" customFormat="1" x14ac:dyDescent="0.25">
      <c r="R352" s="175"/>
      <c r="S352" s="175"/>
      <c r="T352" s="175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  <c r="AT352" s="90"/>
    </row>
    <row r="353" spans="18:46" s="54" customFormat="1" x14ac:dyDescent="0.25">
      <c r="R353" s="175"/>
      <c r="S353" s="175"/>
      <c r="T353" s="175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  <c r="AT353" s="90"/>
    </row>
    <row r="354" spans="18:46" s="54" customFormat="1" x14ac:dyDescent="0.25">
      <c r="R354" s="175"/>
      <c r="S354" s="175"/>
      <c r="T354" s="175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  <c r="AT354" s="90"/>
    </row>
    <row r="355" spans="18:46" s="54" customFormat="1" x14ac:dyDescent="0.25">
      <c r="R355" s="175"/>
      <c r="S355" s="175"/>
      <c r="T355" s="175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  <c r="AT355" s="90"/>
    </row>
    <row r="356" spans="18:46" s="54" customFormat="1" x14ac:dyDescent="0.25">
      <c r="R356" s="175"/>
      <c r="S356" s="175"/>
      <c r="T356" s="175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  <c r="AT356" s="90"/>
    </row>
    <row r="357" spans="18:46" s="54" customFormat="1" x14ac:dyDescent="0.25">
      <c r="R357" s="175"/>
      <c r="S357" s="175"/>
      <c r="T357" s="175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  <c r="AT357" s="90"/>
    </row>
    <row r="358" spans="18:46" s="54" customFormat="1" x14ac:dyDescent="0.25">
      <c r="R358" s="175"/>
      <c r="S358" s="175"/>
      <c r="T358" s="175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</row>
    <row r="359" spans="18:46" s="54" customFormat="1" x14ac:dyDescent="0.25">
      <c r="R359" s="175"/>
      <c r="S359" s="175"/>
      <c r="T359" s="175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</row>
    <row r="360" spans="18:46" s="54" customFormat="1" x14ac:dyDescent="0.25">
      <c r="R360" s="175"/>
      <c r="S360" s="175"/>
      <c r="T360" s="175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</row>
    <row r="361" spans="18:46" s="54" customFormat="1" x14ac:dyDescent="0.25">
      <c r="R361" s="175"/>
      <c r="S361" s="175"/>
      <c r="T361" s="175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</row>
    <row r="362" spans="18:46" s="54" customFormat="1" x14ac:dyDescent="0.25">
      <c r="R362" s="175"/>
      <c r="S362" s="175"/>
      <c r="T362" s="175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</row>
    <row r="363" spans="18:46" s="54" customFormat="1" x14ac:dyDescent="0.25">
      <c r="R363" s="175"/>
      <c r="S363" s="175"/>
      <c r="T363" s="175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</row>
    <row r="364" spans="18:46" s="54" customFormat="1" x14ac:dyDescent="0.25">
      <c r="R364" s="175"/>
      <c r="S364" s="175"/>
      <c r="T364" s="175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</row>
    <row r="365" spans="18:46" s="54" customFormat="1" x14ac:dyDescent="0.25">
      <c r="R365" s="175"/>
      <c r="S365" s="175"/>
      <c r="T365" s="175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</row>
    <row r="366" spans="18:46" s="54" customFormat="1" x14ac:dyDescent="0.25">
      <c r="R366" s="175"/>
      <c r="S366" s="175"/>
      <c r="T366" s="175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</row>
    <row r="367" spans="18:46" s="54" customFormat="1" x14ac:dyDescent="0.25">
      <c r="R367" s="175"/>
      <c r="S367" s="175"/>
      <c r="T367" s="175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</row>
    <row r="368" spans="18:46" s="54" customFormat="1" x14ac:dyDescent="0.25">
      <c r="R368" s="175"/>
      <c r="S368" s="175"/>
      <c r="T368" s="175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</row>
    <row r="369" spans="18:46" s="54" customFormat="1" x14ac:dyDescent="0.25">
      <c r="R369" s="175"/>
      <c r="S369" s="175"/>
      <c r="T369" s="175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</row>
    <row r="370" spans="18:46" s="54" customFormat="1" x14ac:dyDescent="0.25">
      <c r="R370" s="175"/>
      <c r="S370" s="175"/>
      <c r="T370" s="175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</row>
    <row r="371" spans="18:46" s="54" customFormat="1" x14ac:dyDescent="0.25">
      <c r="R371" s="175"/>
      <c r="S371" s="175"/>
      <c r="T371" s="175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</row>
    <row r="372" spans="18:46" s="54" customFormat="1" x14ac:dyDescent="0.25">
      <c r="R372" s="175"/>
      <c r="S372" s="175"/>
      <c r="T372" s="175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</row>
    <row r="373" spans="18:46" s="54" customFormat="1" x14ac:dyDescent="0.25">
      <c r="R373" s="175"/>
      <c r="S373" s="175"/>
      <c r="T373" s="175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</row>
    <row r="374" spans="18:46" s="54" customFormat="1" x14ac:dyDescent="0.25">
      <c r="R374" s="175"/>
      <c r="S374" s="175"/>
      <c r="T374" s="175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</row>
    <row r="375" spans="18:46" s="54" customFormat="1" x14ac:dyDescent="0.25">
      <c r="R375" s="175"/>
      <c r="S375" s="175"/>
      <c r="T375" s="175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</row>
    <row r="376" spans="18:46" s="54" customFormat="1" x14ac:dyDescent="0.25">
      <c r="R376" s="175"/>
      <c r="S376" s="175"/>
      <c r="T376" s="175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</row>
    <row r="377" spans="18:46" s="54" customFormat="1" x14ac:dyDescent="0.25">
      <c r="R377" s="175"/>
      <c r="S377" s="175"/>
      <c r="T377" s="175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</row>
    <row r="378" spans="18:46" s="54" customFormat="1" x14ac:dyDescent="0.25">
      <c r="R378" s="175"/>
      <c r="S378" s="175"/>
      <c r="T378" s="175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  <c r="AT378" s="90"/>
    </row>
    <row r="379" spans="18:46" s="54" customFormat="1" x14ac:dyDescent="0.25">
      <c r="R379" s="175"/>
      <c r="S379" s="175"/>
      <c r="T379" s="175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  <c r="AT379" s="90"/>
    </row>
    <row r="380" spans="18:46" s="54" customFormat="1" x14ac:dyDescent="0.25">
      <c r="R380" s="175"/>
      <c r="S380" s="175"/>
      <c r="T380" s="175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  <c r="AT380" s="90"/>
    </row>
    <row r="381" spans="18:46" s="54" customFormat="1" x14ac:dyDescent="0.25">
      <c r="R381" s="175"/>
      <c r="S381" s="175"/>
      <c r="T381" s="175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  <c r="AT381" s="90"/>
    </row>
    <row r="382" spans="18:46" s="54" customFormat="1" x14ac:dyDescent="0.25">
      <c r="R382" s="175"/>
      <c r="S382" s="175"/>
      <c r="T382" s="175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  <c r="AT382" s="90"/>
    </row>
    <row r="383" spans="18:46" s="54" customFormat="1" x14ac:dyDescent="0.25">
      <c r="R383" s="175"/>
      <c r="S383" s="175"/>
      <c r="T383" s="175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  <c r="AT383" s="90"/>
    </row>
    <row r="384" spans="18:46" s="54" customFormat="1" x14ac:dyDescent="0.25">
      <c r="R384" s="175"/>
      <c r="S384" s="175"/>
      <c r="T384" s="175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  <c r="AT384" s="90"/>
    </row>
    <row r="385" spans="18:46" s="54" customFormat="1" x14ac:dyDescent="0.25">
      <c r="R385" s="175"/>
      <c r="S385" s="175"/>
      <c r="T385" s="175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  <c r="AT385" s="90"/>
    </row>
    <row r="386" spans="18:46" s="54" customFormat="1" x14ac:dyDescent="0.25">
      <c r="R386" s="175"/>
      <c r="S386" s="175"/>
      <c r="T386" s="175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  <c r="AT386" s="90"/>
    </row>
    <row r="387" spans="18:46" s="54" customFormat="1" x14ac:dyDescent="0.25">
      <c r="R387" s="175"/>
      <c r="S387" s="175"/>
      <c r="T387" s="175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  <c r="AT387" s="90"/>
    </row>
    <row r="388" spans="18:46" s="54" customFormat="1" x14ac:dyDescent="0.25">
      <c r="R388" s="175"/>
      <c r="S388" s="175"/>
      <c r="T388" s="175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  <c r="AT388" s="90"/>
    </row>
    <row r="389" spans="18:46" s="54" customFormat="1" x14ac:dyDescent="0.25">
      <c r="R389" s="175"/>
      <c r="S389" s="175"/>
      <c r="T389" s="175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  <c r="AT389" s="90"/>
    </row>
    <row r="390" spans="18:46" s="54" customFormat="1" x14ac:dyDescent="0.25">
      <c r="R390" s="175"/>
      <c r="S390" s="175"/>
      <c r="T390" s="175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  <c r="AT390" s="90"/>
    </row>
    <row r="391" spans="18:46" s="54" customFormat="1" x14ac:dyDescent="0.25">
      <c r="R391" s="175"/>
      <c r="S391" s="175"/>
      <c r="T391" s="175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  <c r="AT391" s="90"/>
    </row>
    <row r="392" spans="18:46" s="54" customFormat="1" x14ac:dyDescent="0.25">
      <c r="R392" s="175"/>
      <c r="S392" s="175"/>
      <c r="T392" s="175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  <c r="AT392" s="90"/>
    </row>
    <row r="393" spans="18:46" s="54" customFormat="1" x14ac:dyDescent="0.25">
      <c r="R393" s="175"/>
      <c r="S393" s="175"/>
      <c r="T393" s="175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  <c r="AT393" s="90"/>
    </row>
    <row r="394" spans="18:46" s="54" customFormat="1" x14ac:dyDescent="0.25">
      <c r="R394" s="175"/>
      <c r="S394" s="175"/>
      <c r="T394" s="175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  <c r="AT394" s="90"/>
    </row>
    <row r="395" spans="18:46" s="54" customFormat="1" x14ac:dyDescent="0.25">
      <c r="R395" s="175"/>
      <c r="S395" s="175"/>
      <c r="T395" s="175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  <c r="AT395" s="90"/>
    </row>
    <row r="396" spans="18:46" s="54" customFormat="1" x14ac:dyDescent="0.25">
      <c r="R396" s="175"/>
      <c r="S396" s="175"/>
      <c r="T396" s="175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  <c r="AT396" s="90"/>
    </row>
    <row r="397" spans="18:46" s="54" customFormat="1" x14ac:dyDescent="0.25">
      <c r="R397" s="175"/>
      <c r="S397" s="175"/>
      <c r="T397" s="175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  <c r="AT397" s="90"/>
    </row>
    <row r="398" spans="18:46" s="54" customFormat="1" x14ac:dyDescent="0.25">
      <c r="R398" s="175"/>
      <c r="S398" s="175"/>
      <c r="T398" s="175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  <c r="AT398" s="90"/>
    </row>
    <row r="399" spans="18:46" s="54" customFormat="1" x14ac:dyDescent="0.25">
      <c r="R399" s="175"/>
      <c r="S399" s="175"/>
      <c r="T399" s="175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</row>
    <row r="400" spans="18:46" s="54" customFormat="1" x14ac:dyDescent="0.25">
      <c r="R400" s="175"/>
      <c r="S400" s="175"/>
      <c r="T400" s="175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</row>
    <row r="401" spans="18:46" s="54" customFormat="1" x14ac:dyDescent="0.25">
      <c r="R401" s="175"/>
      <c r="S401" s="175"/>
      <c r="T401" s="175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</row>
    <row r="402" spans="18:46" s="54" customFormat="1" x14ac:dyDescent="0.25">
      <c r="R402" s="175"/>
      <c r="S402" s="175"/>
      <c r="T402" s="175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</row>
    <row r="403" spans="18:46" s="54" customFormat="1" x14ac:dyDescent="0.25">
      <c r="R403" s="175"/>
      <c r="S403" s="175"/>
      <c r="T403" s="175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</row>
    <row r="404" spans="18:46" s="54" customFormat="1" x14ac:dyDescent="0.25">
      <c r="R404" s="175"/>
      <c r="S404" s="175"/>
      <c r="T404" s="175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</row>
    <row r="405" spans="18:46" s="54" customFormat="1" x14ac:dyDescent="0.25">
      <c r="R405" s="175"/>
      <c r="S405" s="175"/>
      <c r="T405" s="175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</row>
    <row r="406" spans="18:46" s="54" customFormat="1" x14ac:dyDescent="0.25">
      <c r="R406" s="175"/>
      <c r="S406" s="175"/>
      <c r="T406" s="175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</row>
    <row r="407" spans="18:46" s="54" customFormat="1" x14ac:dyDescent="0.25">
      <c r="R407" s="175"/>
      <c r="S407" s="175"/>
      <c r="T407" s="175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</row>
    <row r="408" spans="18:46" s="54" customFormat="1" x14ac:dyDescent="0.25">
      <c r="R408" s="175"/>
      <c r="S408" s="175"/>
      <c r="T408" s="175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</row>
    <row r="409" spans="18:46" s="54" customFormat="1" x14ac:dyDescent="0.25">
      <c r="R409" s="175"/>
      <c r="S409" s="175"/>
      <c r="T409" s="175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</row>
    <row r="410" spans="18:46" s="54" customFormat="1" x14ac:dyDescent="0.25">
      <c r="R410" s="175"/>
      <c r="S410" s="175"/>
      <c r="T410" s="175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</row>
    <row r="411" spans="18:46" s="54" customFormat="1" x14ac:dyDescent="0.25">
      <c r="R411" s="175"/>
      <c r="S411" s="175"/>
      <c r="T411" s="175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</row>
    <row r="412" spans="18:46" s="54" customFormat="1" x14ac:dyDescent="0.25">
      <c r="R412" s="175"/>
      <c r="S412" s="175"/>
      <c r="T412" s="175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</row>
    <row r="413" spans="18:46" s="54" customFormat="1" x14ac:dyDescent="0.25">
      <c r="R413" s="175"/>
      <c r="S413" s="175"/>
      <c r="T413" s="175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</row>
    <row r="414" spans="18:46" s="54" customFormat="1" x14ac:dyDescent="0.25">
      <c r="R414" s="175"/>
      <c r="S414" s="175"/>
      <c r="T414" s="175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</row>
    <row r="415" spans="18:46" s="54" customFormat="1" x14ac:dyDescent="0.25">
      <c r="R415" s="175"/>
      <c r="S415" s="175"/>
      <c r="T415" s="175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</row>
    <row r="416" spans="18:46" s="54" customFormat="1" x14ac:dyDescent="0.25">
      <c r="R416" s="175"/>
      <c r="S416" s="175"/>
      <c r="T416" s="175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</row>
    <row r="417" spans="18:46" s="54" customFormat="1" x14ac:dyDescent="0.25">
      <c r="R417" s="175"/>
      <c r="S417" s="175"/>
      <c r="T417" s="175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</row>
    <row r="418" spans="18:46" s="54" customFormat="1" x14ac:dyDescent="0.25">
      <c r="R418" s="175"/>
      <c r="S418" s="175"/>
      <c r="T418" s="175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</row>
    <row r="419" spans="18:46" s="54" customFormat="1" x14ac:dyDescent="0.25">
      <c r="R419" s="175"/>
      <c r="S419" s="175"/>
      <c r="T419" s="175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  <c r="AT419" s="90"/>
    </row>
    <row r="420" spans="18:46" s="54" customFormat="1" x14ac:dyDescent="0.25">
      <c r="R420" s="175"/>
      <c r="S420" s="175"/>
      <c r="T420" s="175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  <c r="AT420" s="90"/>
    </row>
    <row r="421" spans="18:46" s="54" customFormat="1" x14ac:dyDescent="0.25">
      <c r="R421" s="175"/>
      <c r="S421" s="175"/>
      <c r="T421" s="175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  <c r="AT421" s="90"/>
    </row>
    <row r="422" spans="18:46" s="54" customFormat="1" x14ac:dyDescent="0.25">
      <c r="R422" s="175"/>
      <c r="S422" s="175"/>
      <c r="T422" s="175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  <c r="AT422" s="90"/>
    </row>
    <row r="423" spans="18:46" s="54" customFormat="1" x14ac:dyDescent="0.25">
      <c r="R423" s="175"/>
      <c r="S423" s="175"/>
      <c r="T423" s="175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  <c r="AT423" s="90"/>
    </row>
    <row r="424" spans="18:46" s="54" customFormat="1" x14ac:dyDescent="0.25">
      <c r="R424" s="175"/>
      <c r="S424" s="175"/>
      <c r="T424" s="175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  <c r="AT424" s="90"/>
    </row>
    <row r="425" spans="18:46" s="54" customFormat="1" x14ac:dyDescent="0.25">
      <c r="R425" s="175"/>
      <c r="S425" s="175"/>
      <c r="T425" s="175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  <c r="AT425" s="90"/>
    </row>
    <row r="426" spans="18:46" s="54" customFormat="1" x14ac:dyDescent="0.25">
      <c r="R426" s="175"/>
      <c r="S426" s="175"/>
      <c r="T426" s="175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  <c r="AT426" s="90"/>
    </row>
    <row r="427" spans="18:46" s="54" customFormat="1" x14ac:dyDescent="0.25">
      <c r="R427" s="175"/>
      <c r="S427" s="175"/>
      <c r="T427" s="175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  <c r="AT427" s="90"/>
    </row>
    <row r="428" spans="18:46" s="54" customFormat="1" x14ac:dyDescent="0.25">
      <c r="R428" s="175"/>
      <c r="S428" s="175"/>
      <c r="T428" s="175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  <c r="AT428" s="90"/>
    </row>
    <row r="429" spans="18:46" s="54" customFormat="1" x14ac:dyDescent="0.25">
      <c r="R429" s="175"/>
      <c r="S429" s="175"/>
      <c r="T429" s="175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  <c r="AT429" s="90"/>
    </row>
    <row r="430" spans="18:46" s="54" customFormat="1" x14ac:dyDescent="0.25">
      <c r="R430" s="175"/>
      <c r="S430" s="175"/>
      <c r="T430" s="175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  <c r="AT430" s="90"/>
    </row>
    <row r="431" spans="18:46" s="54" customFormat="1" x14ac:dyDescent="0.25">
      <c r="R431" s="175"/>
      <c r="S431" s="175"/>
      <c r="T431" s="175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  <c r="AT431" s="90"/>
    </row>
    <row r="432" spans="18:46" s="54" customFormat="1" x14ac:dyDescent="0.25">
      <c r="R432" s="175"/>
      <c r="S432" s="175"/>
      <c r="T432" s="175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  <c r="AT432" s="90"/>
    </row>
    <row r="433" spans="18:46" s="54" customFormat="1" x14ac:dyDescent="0.25">
      <c r="R433" s="175"/>
      <c r="S433" s="175"/>
      <c r="T433" s="175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  <c r="AT433" s="90"/>
    </row>
    <row r="434" spans="18:46" s="54" customFormat="1" x14ac:dyDescent="0.25">
      <c r="R434" s="175"/>
      <c r="S434" s="175"/>
      <c r="T434" s="175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  <c r="AT434" s="90"/>
    </row>
    <row r="435" spans="18:46" s="54" customFormat="1" x14ac:dyDescent="0.25">
      <c r="R435" s="175"/>
      <c r="S435" s="175"/>
      <c r="T435" s="175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  <c r="AT435" s="90"/>
    </row>
    <row r="436" spans="18:46" s="54" customFormat="1" x14ac:dyDescent="0.25">
      <c r="R436" s="175"/>
      <c r="S436" s="175"/>
      <c r="T436" s="175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  <c r="AT436" s="90"/>
    </row>
    <row r="437" spans="18:46" s="54" customFormat="1" x14ac:dyDescent="0.25">
      <c r="R437" s="175"/>
      <c r="S437" s="175"/>
      <c r="T437" s="175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  <c r="AT437" s="90"/>
    </row>
    <row r="438" spans="18:46" s="54" customFormat="1" x14ac:dyDescent="0.25">
      <c r="R438" s="175"/>
      <c r="S438" s="175"/>
      <c r="T438" s="175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</row>
    <row r="439" spans="18:46" s="54" customFormat="1" x14ac:dyDescent="0.25">
      <c r="R439" s="175"/>
      <c r="S439" s="175"/>
      <c r="T439" s="175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</row>
    <row r="440" spans="18:46" s="54" customFormat="1" x14ac:dyDescent="0.25">
      <c r="R440" s="175"/>
      <c r="S440" s="175"/>
      <c r="T440" s="175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</row>
    <row r="441" spans="18:46" s="54" customFormat="1" x14ac:dyDescent="0.25">
      <c r="R441" s="175"/>
      <c r="S441" s="175"/>
      <c r="T441" s="175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</row>
    <row r="442" spans="18:46" s="54" customFormat="1" x14ac:dyDescent="0.25">
      <c r="R442" s="175"/>
      <c r="S442" s="175"/>
      <c r="T442" s="175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</row>
    <row r="443" spans="18:46" s="54" customFormat="1" x14ac:dyDescent="0.25">
      <c r="R443" s="175"/>
      <c r="S443" s="175"/>
      <c r="T443" s="175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</row>
    <row r="444" spans="18:46" s="54" customFormat="1" x14ac:dyDescent="0.25">
      <c r="R444" s="175"/>
      <c r="S444" s="175"/>
      <c r="T444" s="175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</row>
    <row r="445" spans="18:46" s="54" customFormat="1" x14ac:dyDescent="0.25">
      <c r="R445" s="175"/>
      <c r="S445" s="175"/>
      <c r="T445" s="175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</row>
    <row r="446" spans="18:46" s="54" customFormat="1" x14ac:dyDescent="0.25">
      <c r="R446" s="175"/>
      <c r="S446" s="175"/>
      <c r="T446" s="175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</row>
    <row r="447" spans="18:46" s="54" customFormat="1" x14ac:dyDescent="0.25">
      <c r="R447" s="175"/>
      <c r="S447" s="175"/>
      <c r="T447" s="175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</row>
    <row r="448" spans="18:46" s="54" customFormat="1" x14ac:dyDescent="0.25">
      <c r="R448" s="175"/>
      <c r="S448" s="175"/>
      <c r="T448" s="175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</row>
    <row r="449" spans="18:46" s="54" customFormat="1" x14ac:dyDescent="0.25">
      <c r="R449" s="175"/>
      <c r="S449" s="175"/>
      <c r="T449" s="175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</row>
    <row r="450" spans="18:46" s="54" customFormat="1" x14ac:dyDescent="0.25">
      <c r="R450" s="175"/>
      <c r="S450" s="175"/>
      <c r="T450" s="175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</row>
    <row r="451" spans="18:46" s="54" customFormat="1" x14ac:dyDescent="0.25">
      <c r="R451" s="175"/>
      <c r="S451" s="175"/>
      <c r="T451" s="175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</row>
    <row r="452" spans="18:46" s="54" customFormat="1" x14ac:dyDescent="0.25">
      <c r="R452" s="175"/>
      <c r="S452" s="175"/>
      <c r="T452" s="175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</row>
    <row r="453" spans="18:46" s="54" customFormat="1" x14ac:dyDescent="0.25">
      <c r="R453" s="175"/>
      <c r="S453" s="175"/>
      <c r="T453" s="175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</row>
    <row r="454" spans="18:46" s="54" customFormat="1" x14ac:dyDescent="0.25">
      <c r="R454" s="175"/>
      <c r="S454" s="175"/>
      <c r="T454" s="175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</row>
    <row r="455" spans="18:46" s="54" customFormat="1" x14ac:dyDescent="0.25">
      <c r="R455" s="175"/>
      <c r="S455" s="175"/>
      <c r="T455" s="175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</row>
    <row r="456" spans="18:46" s="54" customFormat="1" x14ac:dyDescent="0.25">
      <c r="R456" s="175"/>
      <c r="S456" s="175"/>
      <c r="T456" s="175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</row>
    <row r="457" spans="18:46" s="54" customFormat="1" x14ac:dyDescent="0.25">
      <c r="R457" s="175"/>
      <c r="S457" s="175"/>
      <c r="T457" s="175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</row>
    <row r="458" spans="18:46" s="54" customFormat="1" x14ac:dyDescent="0.25">
      <c r="R458" s="175"/>
      <c r="S458" s="175"/>
      <c r="T458" s="175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  <c r="AQ458" s="90"/>
      <c r="AR458" s="90"/>
      <c r="AS458" s="90"/>
      <c r="AT458" s="90"/>
    </row>
    <row r="459" spans="18:46" s="54" customFormat="1" x14ac:dyDescent="0.25">
      <c r="R459" s="175"/>
      <c r="S459" s="175"/>
      <c r="T459" s="175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  <c r="AT459" s="90"/>
    </row>
    <row r="460" spans="18:46" s="54" customFormat="1" x14ac:dyDescent="0.25">
      <c r="R460" s="175"/>
      <c r="S460" s="175"/>
      <c r="T460" s="175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  <c r="AQ460" s="90"/>
      <c r="AR460" s="90"/>
      <c r="AS460" s="90"/>
      <c r="AT460" s="90"/>
    </row>
    <row r="461" spans="18:46" s="54" customFormat="1" x14ac:dyDescent="0.25">
      <c r="R461" s="175"/>
      <c r="S461" s="175"/>
      <c r="T461" s="175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  <c r="AT461" s="90"/>
    </row>
    <row r="462" spans="18:46" s="54" customFormat="1" x14ac:dyDescent="0.25">
      <c r="R462" s="175"/>
      <c r="S462" s="175"/>
      <c r="T462" s="175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  <c r="AQ462" s="90"/>
      <c r="AR462" s="90"/>
      <c r="AS462" s="90"/>
      <c r="AT462" s="90"/>
    </row>
    <row r="463" spans="18:46" s="54" customFormat="1" x14ac:dyDescent="0.25">
      <c r="R463" s="175"/>
      <c r="S463" s="175"/>
      <c r="T463" s="175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  <c r="AT463" s="90"/>
    </row>
    <row r="464" spans="18:46" s="54" customFormat="1" x14ac:dyDescent="0.25">
      <c r="R464" s="175"/>
      <c r="S464" s="175"/>
      <c r="T464" s="175"/>
      <c r="U464" s="90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90"/>
      <c r="AQ464" s="90"/>
      <c r="AR464" s="90"/>
      <c r="AS464" s="90"/>
      <c r="AT464" s="90"/>
    </row>
    <row r="465" spans="18:46" s="54" customFormat="1" x14ac:dyDescent="0.25">
      <c r="R465" s="175"/>
      <c r="S465" s="175"/>
      <c r="T465" s="175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  <c r="AQ465" s="90"/>
      <c r="AR465" s="90"/>
      <c r="AS465" s="90"/>
      <c r="AT465" s="90"/>
    </row>
    <row r="466" spans="18:46" s="54" customFormat="1" x14ac:dyDescent="0.25">
      <c r="R466" s="175"/>
      <c r="S466" s="175"/>
      <c r="T466" s="175"/>
      <c r="U466" s="90"/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  <c r="AL466" s="90"/>
      <c r="AM466" s="90"/>
      <c r="AN466" s="90"/>
      <c r="AO466" s="90"/>
      <c r="AP466" s="90"/>
      <c r="AQ466" s="90"/>
      <c r="AR466" s="90"/>
      <c r="AS466" s="90"/>
      <c r="AT466" s="90"/>
    </row>
    <row r="467" spans="18:46" s="54" customFormat="1" x14ac:dyDescent="0.25">
      <c r="R467" s="175"/>
      <c r="S467" s="175"/>
      <c r="T467" s="175"/>
      <c r="U467" s="90"/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  <c r="AP467" s="90"/>
      <c r="AQ467" s="90"/>
      <c r="AR467" s="90"/>
      <c r="AS467" s="90"/>
      <c r="AT467" s="90"/>
    </row>
    <row r="468" spans="18:46" s="54" customFormat="1" x14ac:dyDescent="0.25">
      <c r="R468" s="175"/>
      <c r="S468" s="175"/>
      <c r="T468" s="175"/>
      <c r="U468" s="90"/>
      <c r="V468" s="90"/>
      <c r="W468" s="90"/>
      <c r="X468" s="90"/>
      <c r="Y468" s="90"/>
      <c r="Z468" s="90"/>
      <c r="AA468" s="90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  <c r="AL468" s="90"/>
      <c r="AM468" s="90"/>
      <c r="AN468" s="90"/>
      <c r="AO468" s="90"/>
      <c r="AP468" s="90"/>
      <c r="AQ468" s="90"/>
      <c r="AR468" s="90"/>
      <c r="AS468" s="90"/>
      <c r="AT468" s="90"/>
    </row>
    <row r="469" spans="18:46" s="54" customFormat="1" x14ac:dyDescent="0.25">
      <c r="R469" s="175"/>
      <c r="S469" s="175"/>
      <c r="T469" s="175"/>
      <c r="U469" s="90"/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  <c r="AP469" s="90"/>
      <c r="AQ469" s="90"/>
      <c r="AR469" s="90"/>
      <c r="AS469" s="90"/>
      <c r="AT469" s="90"/>
    </row>
    <row r="470" spans="18:46" s="54" customFormat="1" x14ac:dyDescent="0.25">
      <c r="R470" s="175"/>
      <c r="S470" s="175"/>
      <c r="T470" s="175"/>
      <c r="U470" s="90"/>
      <c r="V470" s="90"/>
      <c r="W470" s="90"/>
      <c r="X470" s="90"/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  <c r="AL470" s="90"/>
      <c r="AM470" s="90"/>
      <c r="AN470" s="90"/>
      <c r="AO470" s="90"/>
      <c r="AP470" s="90"/>
      <c r="AQ470" s="90"/>
      <c r="AR470" s="90"/>
      <c r="AS470" s="90"/>
      <c r="AT470" s="90"/>
    </row>
    <row r="471" spans="18:46" s="54" customFormat="1" x14ac:dyDescent="0.25">
      <c r="R471" s="175"/>
      <c r="S471" s="175"/>
      <c r="T471" s="175"/>
      <c r="U471" s="90"/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  <c r="AP471" s="90"/>
      <c r="AQ471" s="90"/>
      <c r="AR471" s="90"/>
      <c r="AS471" s="90"/>
      <c r="AT471" s="90"/>
    </row>
    <row r="472" spans="18:46" s="54" customFormat="1" x14ac:dyDescent="0.25">
      <c r="R472" s="175"/>
      <c r="S472" s="175"/>
      <c r="T472" s="175"/>
      <c r="U472" s="90"/>
      <c r="V472" s="90"/>
      <c r="W472" s="90"/>
      <c r="X472" s="90"/>
      <c r="Y472" s="90"/>
      <c r="Z472" s="90"/>
      <c r="AA472" s="90"/>
      <c r="AB472" s="90"/>
      <c r="AC472" s="90"/>
      <c r="AD472" s="90"/>
      <c r="AE472" s="90"/>
      <c r="AF472" s="90"/>
      <c r="AG472" s="90"/>
      <c r="AH472" s="90"/>
      <c r="AI472" s="90"/>
      <c r="AJ472" s="90"/>
      <c r="AK472" s="90"/>
      <c r="AL472" s="90"/>
      <c r="AM472" s="90"/>
      <c r="AN472" s="90"/>
      <c r="AO472" s="90"/>
      <c r="AP472" s="90"/>
      <c r="AQ472" s="90"/>
      <c r="AR472" s="90"/>
      <c r="AS472" s="90"/>
      <c r="AT472" s="90"/>
    </row>
    <row r="473" spans="18:46" s="54" customFormat="1" x14ac:dyDescent="0.25">
      <c r="R473" s="175"/>
      <c r="S473" s="175"/>
      <c r="T473" s="175"/>
      <c r="U473" s="90"/>
      <c r="V473" s="90"/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  <c r="AO473" s="90"/>
      <c r="AP473" s="90"/>
      <c r="AQ473" s="90"/>
      <c r="AR473" s="90"/>
      <c r="AS473" s="90"/>
      <c r="AT473" s="90"/>
    </row>
    <row r="474" spans="18:46" s="54" customFormat="1" x14ac:dyDescent="0.25">
      <c r="R474" s="175"/>
      <c r="S474" s="175"/>
      <c r="T474" s="175"/>
      <c r="U474" s="90"/>
      <c r="V474" s="90"/>
      <c r="W474" s="90"/>
      <c r="X474" s="90"/>
      <c r="Y474" s="90"/>
      <c r="Z474" s="90"/>
      <c r="AA474" s="90"/>
      <c r="AB474" s="90"/>
      <c r="AC474" s="90"/>
      <c r="AD474" s="90"/>
      <c r="AE474" s="90"/>
      <c r="AF474" s="90"/>
      <c r="AG474" s="90"/>
      <c r="AH474" s="90"/>
      <c r="AI474" s="90"/>
      <c r="AJ474" s="90"/>
      <c r="AK474" s="90"/>
      <c r="AL474" s="90"/>
      <c r="AM474" s="90"/>
      <c r="AN474" s="90"/>
      <c r="AO474" s="90"/>
      <c r="AP474" s="90"/>
      <c r="AQ474" s="90"/>
      <c r="AR474" s="90"/>
      <c r="AS474" s="90"/>
      <c r="AT474" s="90"/>
    </row>
    <row r="475" spans="18:46" s="54" customFormat="1" x14ac:dyDescent="0.25">
      <c r="R475" s="175"/>
      <c r="S475" s="175"/>
      <c r="T475" s="175"/>
      <c r="U475" s="90"/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  <c r="AP475" s="90"/>
      <c r="AQ475" s="90"/>
      <c r="AR475" s="90"/>
      <c r="AS475" s="90"/>
      <c r="AT475" s="90"/>
    </row>
    <row r="476" spans="18:46" s="54" customFormat="1" x14ac:dyDescent="0.25">
      <c r="R476" s="175"/>
      <c r="S476" s="175"/>
      <c r="T476" s="175"/>
      <c r="U476" s="90"/>
      <c r="V476" s="90"/>
      <c r="W476" s="90"/>
      <c r="X476" s="90"/>
      <c r="Y476" s="90"/>
      <c r="Z476" s="90"/>
      <c r="AA476" s="90"/>
      <c r="AB476" s="90"/>
      <c r="AC476" s="90"/>
      <c r="AD476" s="90"/>
      <c r="AE476" s="90"/>
      <c r="AF476" s="90"/>
      <c r="AG476" s="90"/>
      <c r="AH476" s="90"/>
      <c r="AI476" s="90"/>
      <c r="AJ476" s="90"/>
      <c r="AK476" s="90"/>
      <c r="AL476" s="90"/>
      <c r="AM476" s="90"/>
      <c r="AN476" s="90"/>
      <c r="AO476" s="90"/>
      <c r="AP476" s="90"/>
      <c r="AQ476" s="90"/>
      <c r="AR476" s="90"/>
      <c r="AS476" s="90"/>
      <c r="AT476" s="90"/>
    </row>
    <row r="477" spans="18:46" s="54" customFormat="1" x14ac:dyDescent="0.25">
      <c r="R477" s="175"/>
      <c r="S477" s="175"/>
      <c r="T477" s="175"/>
      <c r="U477" s="90"/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  <c r="AP477" s="90"/>
      <c r="AQ477" s="90"/>
      <c r="AR477" s="90"/>
      <c r="AS477" s="90"/>
      <c r="AT477" s="90"/>
    </row>
    <row r="478" spans="18:46" s="54" customFormat="1" x14ac:dyDescent="0.25">
      <c r="R478" s="175"/>
      <c r="S478" s="175"/>
      <c r="T478" s="175"/>
      <c r="U478" s="90"/>
      <c r="V478" s="90"/>
      <c r="W478" s="90"/>
      <c r="X478" s="90"/>
      <c r="Y478" s="90"/>
      <c r="Z478" s="90"/>
      <c r="AA478" s="90"/>
      <c r="AB478" s="90"/>
      <c r="AC478" s="90"/>
      <c r="AD478" s="90"/>
      <c r="AE478" s="90"/>
      <c r="AF478" s="90"/>
      <c r="AG478" s="90"/>
      <c r="AH478" s="90"/>
      <c r="AI478" s="90"/>
      <c r="AJ478" s="90"/>
      <c r="AK478" s="90"/>
      <c r="AL478" s="90"/>
      <c r="AM478" s="90"/>
      <c r="AN478" s="90"/>
      <c r="AO478" s="90"/>
      <c r="AP478" s="90"/>
      <c r="AQ478" s="90"/>
      <c r="AR478" s="90"/>
      <c r="AS478" s="90"/>
      <c r="AT478" s="90"/>
    </row>
    <row r="479" spans="18:46" s="54" customFormat="1" x14ac:dyDescent="0.25">
      <c r="R479" s="175"/>
      <c r="S479" s="175"/>
      <c r="T479" s="175"/>
      <c r="U479" s="90"/>
      <c r="V479" s="90"/>
      <c r="W479" s="90"/>
      <c r="X479" s="90"/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  <c r="AL479" s="90"/>
      <c r="AM479" s="90"/>
      <c r="AN479" s="90"/>
      <c r="AO479" s="90"/>
      <c r="AP479" s="90"/>
      <c r="AQ479" s="90"/>
      <c r="AR479" s="90"/>
      <c r="AS479" s="90"/>
      <c r="AT479" s="90"/>
    </row>
    <row r="480" spans="18:46" s="54" customFormat="1" x14ac:dyDescent="0.25">
      <c r="R480" s="175"/>
      <c r="S480" s="175"/>
      <c r="T480" s="175"/>
      <c r="U480" s="90"/>
      <c r="V480" s="90"/>
      <c r="W480" s="90"/>
      <c r="X480" s="90"/>
      <c r="Y480" s="90"/>
      <c r="Z480" s="90"/>
      <c r="AA480" s="90"/>
      <c r="AB480" s="90"/>
      <c r="AC480" s="90"/>
      <c r="AD480" s="90"/>
      <c r="AE480" s="90"/>
      <c r="AF480" s="90"/>
      <c r="AG480" s="90"/>
      <c r="AH480" s="90"/>
      <c r="AI480" s="90"/>
      <c r="AJ480" s="90"/>
      <c r="AK480" s="90"/>
      <c r="AL480" s="90"/>
      <c r="AM480" s="90"/>
      <c r="AN480" s="90"/>
      <c r="AO480" s="90"/>
      <c r="AP480" s="90"/>
      <c r="AQ480" s="90"/>
      <c r="AR480" s="90"/>
      <c r="AS480" s="90"/>
      <c r="AT480" s="90"/>
    </row>
    <row r="481" spans="18:46" s="54" customFormat="1" x14ac:dyDescent="0.25">
      <c r="R481" s="175"/>
      <c r="S481" s="175"/>
      <c r="T481" s="175"/>
      <c r="U481" s="90"/>
      <c r="V481" s="90"/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  <c r="AO481" s="90"/>
      <c r="AP481" s="90"/>
      <c r="AQ481" s="90"/>
      <c r="AR481" s="90"/>
      <c r="AS481" s="90"/>
      <c r="AT481" s="90"/>
    </row>
    <row r="482" spans="18:46" s="54" customFormat="1" x14ac:dyDescent="0.25">
      <c r="R482" s="175"/>
      <c r="S482" s="175"/>
      <c r="T482" s="175"/>
      <c r="U482" s="90"/>
      <c r="V482" s="90"/>
      <c r="W482" s="90"/>
      <c r="X482" s="90"/>
      <c r="Y482" s="90"/>
      <c r="Z482" s="90"/>
      <c r="AA482" s="90"/>
      <c r="AB482" s="90"/>
      <c r="AC482" s="90"/>
      <c r="AD482" s="90"/>
      <c r="AE482" s="90"/>
      <c r="AF482" s="90"/>
      <c r="AG482" s="90"/>
      <c r="AH482" s="90"/>
      <c r="AI482" s="90"/>
      <c r="AJ482" s="90"/>
      <c r="AK482" s="90"/>
      <c r="AL482" s="90"/>
      <c r="AM482" s="90"/>
      <c r="AN482" s="90"/>
      <c r="AO482" s="90"/>
      <c r="AP482" s="90"/>
      <c r="AQ482" s="90"/>
      <c r="AR482" s="90"/>
      <c r="AS482" s="90"/>
      <c r="AT482" s="90"/>
    </row>
    <row r="483" spans="18:46" s="54" customFormat="1" x14ac:dyDescent="0.25">
      <c r="R483" s="175"/>
      <c r="S483" s="175"/>
      <c r="T483" s="175"/>
      <c r="U483" s="90"/>
      <c r="V483" s="90"/>
      <c r="W483" s="90"/>
      <c r="X483" s="90"/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  <c r="AL483" s="90"/>
      <c r="AM483" s="90"/>
      <c r="AN483" s="90"/>
      <c r="AO483" s="90"/>
      <c r="AP483" s="90"/>
      <c r="AQ483" s="90"/>
      <c r="AR483" s="90"/>
      <c r="AS483" s="90"/>
      <c r="AT483" s="90"/>
    </row>
    <row r="484" spans="18:46" s="54" customFormat="1" x14ac:dyDescent="0.25">
      <c r="R484" s="175"/>
      <c r="S484" s="175"/>
      <c r="T484" s="175"/>
      <c r="U484" s="90"/>
      <c r="V484" s="90"/>
      <c r="W484" s="90"/>
      <c r="X484" s="90"/>
      <c r="Y484" s="90"/>
      <c r="Z484" s="90"/>
      <c r="AA484" s="90"/>
      <c r="AB484" s="90"/>
      <c r="AC484" s="90"/>
      <c r="AD484" s="90"/>
      <c r="AE484" s="90"/>
      <c r="AF484" s="90"/>
      <c r="AG484" s="90"/>
      <c r="AH484" s="90"/>
      <c r="AI484" s="90"/>
      <c r="AJ484" s="90"/>
      <c r="AK484" s="90"/>
      <c r="AL484" s="90"/>
      <c r="AM484" s="90"/>
      <c r="AN484" s="90"/>
      <c r="AO484" s="90"/>
      <c r="AP484" s="90"/>
      <c r="AQ484" s="90"/>
      <c r="AR484" s="90"/>
      <c r="AS484" s="90"/>
      <c r="AT484" s="90"/>
    </row>
    <row r="485" spans="18:46" s="54" customFormat="1" x14ac:dyDescent="0.25">
      <c r="R485" s="175"/>
      <c r="S485" s="175"/>
      <c r="T485" s="175"/>
      <c r="U485" s="90"/>
      <c r="V485" s="90"/>
      <c r="W485" s="90"/>
      <c r="X485" s="90"/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90"/>
      <c r="AN485" s="90"/>
      <c r="AO485" s="90"/>
      <c r="AP485" s="90"/>
      <c r="AQ485" s="90"/>
      <c r="AR485" s="90"/>
      <c r="AS485" s="90"/>
      <c r="AT485" s="90"/>
    </row>
    <row r="486" spans="18:46" s="54" customFormat="1" x14ac:dyDescent="0.25">
      <c r="R486" s="175"/>
      <c r="S486" s="175"/>
      <c r="T486" s="175"/>
      <c r="U486" s="90"/>
      <c r="V486" s="90"/>
      <c r="W486" s="90"/>
      <c r="X486" s="90"/>
      <c r="Y486" s="90"/>
      <c r="Z486" s="90"/>
      <c r="AA486" s="90"/>
      <c r="AB486" s="90"/>
      <c r="AC486" s="90"/>
      <c r="AD486" s="90"/>
      <c r="AE486" s="90"/>
      <c r="AF486" s="90"/>
      <c r="AG486" s="90"/>
      <c r="AH486" s="90"/>
      <c r="AI486" s="90"/>
      <c r="AJ486" s="90"/>
      <c r="AK486" s="90"/>
      <c r="AL486" s="90"/>
      <c r="AM486" s="90"/>
      <c r="AN486" s="90"/>
      <c r="AO486" s="90"/>
      <c r="AP486" s="90"/>
      <c r="AQ486" s="90"/>
      <c r="AR486" s="90"/>
      <c r="AS486" s="90"/>
      <c r="AT486" s="90"/>
    </row>
    <row r="487" spans="18:46" s="54" customFormat="1" x14ac:dyDescent="0.25">
      <c r="R487" s="175"/>
      <c r="S487" s="175"/>
      <c r="T487" s="175"/>
      <c r="U487" s="90"/>
      <c r="V487" s="90"/>
      <c r="W487" s="90"/>
      <c r="X487" s="90"/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  <c r="AL487" s="90"/>
      <c r="AM487" s="90"/>
      <c r="AN487" s="90"/>
      <c r="AO487" s="90"/>
      <c r="AP487" s="90"/>
      <c r="AQ487" s="90"/>
      <c r="AR487" s="90"/>
      <c r="AS487" s="90"/>
      <c r="AT487" s="90"/>
    </row>
    <row r="488" spans="18:46" s="54" customFormat="1" x14ac:dyDescent="0.25">
      <c r="R488" s="175"/>
      <c r="S488" s="175"/>
      <c r="T488" s="175"/>
      <c r="U488" s="90"/>
      <c r="V488" s="90"/>
      <c r="W488" s="90"/>
      <c r="X488" s="90"/>
      <c r="Y488" s="90"/>
      <c r="Z488" s="90"/>
      <c r="AA488" s="90"/>
      <c r="AB488" s="90"/>
      <c r="AC488" s="90"/>
      <c r="AD488" s="90"/>
      <c r="AE488" s="90"/>
      <c r="AF488" s="90"/>
      <c r="AG488" s="90"/>
      <c r="AH488" s="90"/>
      <c r="AI488" s="90"/>
      <c r="AJ488" s="90"/>
      <c r="AK488" s="90"/>
      <c r="AL488" s="90"/>
      <c r="AM488" s="90"/>
      <c r="AN488" s="90"/>
      <c r="AO488" s="90"/>
      <c r="AP488" s="90"/>
      <c r="AQ488" s="90"/>
      <c r="AR488" s="90"/>
      <c r="AS488" s="90"/>
      <c r="AT488" s="90"/>
    </row>
    <row r="489" spans="18:46" s="54" customFormat="1" x14ac:dyDescent="0.25">
      <c r="R489" s="175"/>
      <c r="S489" s="175"/>
      <c r="T489" s="175"/>
      <c r="U489" s="90"/>
      <c r="V489" s="90"/>
      <c r="W489" s="90"/>
      <c r="X489" s="90"/>
      <c r="Y489" s="90"/>
      <c r="Z489" s="90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  <c r="AM489" s="90"/>
      <c r="AN489" s="90"/>
      <c r="AO489" s="90"/>
      <c r="AP489" s="90"/>
      <c r="AQ489" s="90"/>
      <c r="AR489" s="90"/>
      <c r="AS489" s="90"/>
      <c r="AT489" s="90"/>
    </row>
    <row r="490" spans="18:46" s="54" customFormat="1" x14ac:dyDescent="0.25">
      <c r="R490" s="175"/>
      <c r="S490" s="175"/>
      <c r="T490" s="175"/>
      <c r="U490" s="90"/>
      <c r="V490" s="90"/>
      <c r="W490" s="90"/>
      <c r="X490" s="90"/>
      <c r="Y490" s="90"/>
      <c r="Z490" s="90"/>
      <c r="AA490" s="90"/>
      <c r="AB490" s="90"/>
      <c r="AC490" s="90"/>
      <c r="AD490" s="90"/>
      <c r="AE490" s="90"/>
      <c r="AF490" s="90"/>
      <c r="AG490" s="90"/>
      <c r="AH490" s="90"/>
      <c r="AI490" s="90"/>
      <c r="AJ490" s="90"/>
      <c r="AK490" s="90"/>
      <c r="AL490" s="90"/>
      <c r="AM490" s="90"/>
      <c r="AN490" s="90"/>
      <c r="AO490" s="90"/>
      <c r="AP490" s="90"/>
      <c r="AQ490" s="90"/>
      <c r="AR490" s="90"/>
      <c r="AS490" s="90"/>
      <c r="AT490" s="90"/>
    </row>
    <row r="491" spans="18:46" s="54" customFormat="1" x14ac:dyDescent="0.25">
      <c r="R491" s="175"/>
      <c r="S491" s="175"/>
      <c r="T491" s="175"/>
      <c r="U491" s="90"/>
      <c r="V491" s="90"/>
      <c r="W491" s="90"/>
      <c r="X491" s="90"/>
      <c r="Y491" s="90"/>
      <c r="Z491" s="90"/>
      <c r="AA491" s="90"/>
      <c r="AB491" s="90"/>
      <c r="AC491" s="90"/>
      <c r="AD491" s="90"/>
      <c r="AE491" s="90"/>
      <c r="AF491" s="90"/>
      <c r="AG491" s="90"/>
      <c r="AH491" s="90"/>
      <c r="AI491" s="90"/>
      <c r="AJ491" s="90"/>
      <c r="AK491" s="90"/>
      <c r="AL491" s="90"/>
      <c r="AM491" s="90"/>
      <c r="AN491" s="90"/>
      <c r="AO491" s="90"/>
      <c r="AP491" s="90"/>
      <c r="AQ491" s="90"/>
      <c r="AR491" s="90"/>
      <c r="AS491" s="90"/>
      <c r="AT491" s="90"/>
    </row>
    <row r="492" spans="18:46" s="54" customFormat="1" x14ac:dyDescent="0.25">
      <c r="R492" s="175"/>
      <c r="S492" s="175"/>
      <c r="T492" s="175"/>
      <c r="U492" s="90"/>
      <c r="V492" s="90"/>
      <c r="W492" s="90"/>
      <c r="X492" s="90"/>
      <c r="Y492" s="90"/>
      <c r="Z492" s="90"/>
      <c r="AA492" s="90"/>
      <c r="AB492" s="90"/>
      <c r="AC492" s="90"/>
      <c r="AD492" s="90"/>
      <c r="AE492" s="90"/>
      <c r="AF492" s="90"/>
      <c r="AG492" s="90"/>
      <c r="AH492" s="90"/>
      <c r="AI492" s="90"/>
      <c r="AJ492" s="90"/>
      <c r="AK492" s="90"/>
      <c r="AL492" s="90"/>
      <c r="AM492" s="90"/>
      <c r="AN492" s="90"/>
      <c r="AO492" s="90"/>
      <c r="AP492" s="90"/>
      <c r="AQ492" s="90"/>
      <c r="AR492" s="90"/>
      <c r="AS492" s="90"/>
      <c r="AT492" s="90"/>
    </row>
    <row r="493" spans="18:46" s="54" customFormat="1" x14ac:dyDescent="0.25">
      <c r="R493" s="175"/>
      <c r="S493" s="175"/>
      <c r="T493" s="175"/>
      <c r="U493" s="90"/>
      <c r="V493" s="90"/>
      <c r="W493" s="90"/>
      <c r="X493" s="90"/>
      <c r="Y493" s="90"/>
      <c r="Z493" s="90"/>
      <c r="AA493" s="90"/>
      <c r="AB493" s="90"/>
      <c r="AC493" s="90"/>
      <c r="AD493" s="90"/>
      <c r="AE493" s="90"/>
      <c r="AF493" s="90"/>
      <c r="AG493" s="90"/>
      <c r="AH493" s="90"/>
      <c r="AI493" s="90"/>
      <c r="AJ493" s="90"/>
      <c r="AK493" s="90"/>
      <c r="AL493" s="90"/>
      <c r="AM493" s="90"/>
      <c r="AN493" s="90"/>
      <c r="AO493" s="90"/>
      <c r="AP493" s="90"/>
      <c r="AQ493" s="90"/>
      <c r="AR493" s="90"/>
      <c r="AS493" s="90"/>
      <c r="AT493" s="90"/>
    </row>
    <row r="494" spans="18:46" s="54" customFormat="1" x14ac:dyDescent="0.25">
      <c r="R494" s="175"/>
      <c r="S494" s="175"/>
      <c r="T494" s="175"/>
      <c r="U494" s="90"/>
      <c r="V494" s="90"/>
      <c r="W494" s="90"/>
      <c r="X494" s="90"/>
      <c r="Y494" s="90"/>
      <c r="Z494" s="90"/>
      <c r="AA494" s="90"/>
      <c r="AB494" s="90"/>
      <c r="AC494" s="90"/>
      <c r="AD494" s="90"/>
      <c r="AE494" s="90"/>
      <c r="AF494" s="90"/>
      <c r="AG494" s="90"/>
      <c r="AH494" s="90"/>
      <c r="AI494" s="90"/>
      <c r="AJ494" s="90"/>
      <c r="AK494" s="90"/>
      <c r="AL494" s="90"/>
      <c r="AM494" s="90"/>
      <c r="AN494" s="90"/>
      <c r="AO494" s="90"/>
      <c r="AP494" s="90"/>
      <c r="AQ494" s="90"/>
      <c r="AR494" s="90"/>
      <c r="AS494" s="90"/>
      <c r="AT494" s="90"/>
    </row>
    <row r="495" spans="18:46" s="54" customFormat="1" x14ac:dyDescent="0.25">
      <c r="R495" s="175"/>
      <c r="S495" s="175"/>
      <c r="T495" s="175"/>
      <c r="U495" s="90"/>
      <c r="V495" s="90"/>
      <c r="W495" s="90"/>
      <c r="X495" s="90"/>
      <c r="Y495" s="90"/>
      <c r="Z495" s="90"/>
      <c r="AA495" s="90"/>
      <c r="AB495" s="90"/>
      <c r="AC495" s="90"/>
      <c r="AD495" s="90"/>
      <c r="AE495" s="90"/>
      <c r="AF495" s="90"/>
      <c r="AG495" s="90"/>
      <c r="AH495" s="90"/>
      <c r="AI495" s="90"/>
      <c r="AJ495" s="90"/>
      <c r="AK495" s="90"/>
      <c r="AL495" s="90"/>
      <c r="AM495" s="90"/>
      <c r="AN495" s="90"/>
      <c r="AO495" s="90"/>
      <c r="AP495" s="90"/>
      <c r="AQ495" s="90"/>
      <c r="AR495" s="90"/>
      <c r="AS495" s="90"/>
      <c r="AT495" s="90"/>
    </row>
    <row r="496" spans="18:46" s="54" customFormat="1" x14ac:dyDescent="0.25">
      <c r="R496" s="175"/>
      <c r="S496" s="175"/>
      <c r="T496" s="175"/>
      <c r="U496" s="90"/>
      <c r="V496" s="90"/>
      <c r="W496" s="90"/>
      <c r="X496" s="90"/>
      <c r="Y496" s="90"/>
      <c r="Z496" s="90"/>
      <c r="AA496" s="90"/>
      <c r="AB496" s="90"/>
      <c r="AC496" s="90"/>
      <c r="AD496" s="90"/>
      <c r="AE496" s="90"/>
      <c r="AF496" s="90"/>
      <c r="AG496" s="90"/>
      <c r="AH496" s="90"/>
      <c r="AI496" s="90"/>
      <c r="AJ496" s="90"/>
      <c r="AK496" s="90"/>
      <c r="AL496" s="90"/>
      <c r="AM496" s="90"/>
      <c r="AN496" s="90"/>
      <c r="AO496" s="90"/>
      <c r="AP496" s="90"/>
      <c r="AQ496" s="90"/>
      <c r="AR496" s="90"/>
      <c r="AS496" s="90"/>
      <c r="AT496" s="90"/>
    </row>
    <row r="497" spans="18:46" s="54" customFormat="1" x14ac:dyDescent="0.25">
      <c r="R497" s="175"/>
      <c r="S497" s="175"/>
      <c r="T497" s="175"/>
      <c r="U497" s="90"/>
      <c r="V497" s="90"/>
      <c r="W497" s="90"/>
      <c r="X497" s="90"/>
      <c r="Y497" s="90"/>
      <c r="Z497" s="90"/>
      <c r="AA497" s="90"/>
      <c r="AB497" s="90"/>
      <c r="AC497" s="90"/>
      <c r="AD497" s="90"/>
      <c r="AE497" s="90"/>
      <c r="AF497" s="90"/>
      <c r="AG497" s="90"/>
      <c r="AH497" s="90"/>
      <c r="AI497" s="90"/>
      <c r="AJ497" s="90"/>
      <c r="AK497" s="90"/>
      <c r="AL497" s="90"/>
      <c r="AM497" s="90"/>
      <c r="AN497" s="90"/>
      <c r="AO497" s="90"/>
      <c r="AP497" s="90"/>
      <c r="AQ497" s="90"/>
      <c r="AR497" s="90"/>
      <c r="AS497" s="90"/>
      <c r="AT497" s="90"/>
    </row>
    <row r="498" spans="18:46" s="54" customFormat="1" x14ac:dyDescent="0.25">
      <c r="R498" s="175"/>
      <c r="S498" s="175"/>
      <c r="T498" s="175"/>
      <c r="U498" s="90"/>
      <c r="V498" s="90"/>
      <c r="W498" s="90"/>
      <c r="X498" s="90"/>
      <c r="Y498" s="90"/>
      <c r="Z498" s="90"/>
      <c r="AA498" s="90"/>
      <c r="AB498" s="90"/>
      <c r="AC498" s="90"/>
      <c r="AD498" s="90"/>
      <c r="AE498" s="90"/>
      <c r="AF498" s="90"/>
      <c r="AG498" s="90"/>
      <c r="AH498" s="90"/>
      <c r="AI498" s="90"/>
      <c r="AJ498" s="90"/>
      <c r="AK498" s="90"/>
      <c r="AL498" s="90"/>
      <c r="AM498" s="90"/>
      <c r="AN498" s="90"/>
      <c r="AO498" s="90"/>
      <c r="AP498" s="90"/>
      <c r="AQ498" s="90"/>
      <c r="AR498" s="90"/>
      <c r="AS498" s="90"/>
      <c r="AT498" s="90"/>
    </row>
    <row r="499" spans="18:46" s="54" customFormat="1" x14ac:dyDescent="0.25">
      <c r="R499" s="175"/>
      <c r="S499" s="175"/>
      <c r="T499" s="175"/>
      <c r="U499" s="90"/>
      <c r="V499" s="90"/>
      <c r="W499" s="90"/>
      <c r="X499" s="90"/>
      <c r="Y499" s="90"/>
      <c r="Z499" s="90"/>
      <c r="AA499" s="90"/>
      <c r="AB499" s="90"/>
      <c r="AC499" s="90"/>
      <c r="AD499" s="90"/>
      <c r="AE499" s="90"/>
      <c r="AF499" s="90"/>
      <c r="AG499" s="90"/>
      <c r="AH499" s="90"/>
      <c r="AI499" s="90"/>
      <c r="AJ499" s="90"/>
      <c r="AK499" s="90"/>
      <c r="AL499" s="90"/>
      <c r="AM499" s="90"/>
      <c r="AN499" s="90"/>
      <c r="AO499" s="90"/>
      <c r="AP499" s="90"/>
      <c r="AQ499" s="90"/>
      <c r="AR499" s="90"/>
      <c r="AS499" s="90"/>
      <c r="AT499" s="90"/>
    </row>
    <row r="500" spans="18:46" s="54" customFormat="1" x14ac:dyDescent="0.25">
      <c r="R500" s="175"/>
      <c r="S500" s="175"/>
      <c r="T500" s="175"/>
      <c r="U500" s="90"/>
      <c r="V500" s="90"/>
      <c r="W500" s="90"/>
      <c r="X500" s="90"/>
      <c r="Y500" s="90"/>
      <c r="Z500" s="90"/>
      <c r="AA500" s="90"/>
      <c r="AB500" s="90"/>
      <c r="AC500" s="90"/>
      <c r="AD500" s="90"/>
      <c r="AE500" s="90"/>
      <c r="AF500" s="90"/>
      <c r="AG500" s="90"/>
      <c r="AH500" s="90"/>
      <c r="AI500" s="90"/>
      <c r="AJ500" s="90"/>
      <c r="AK500" s="90"/>
      <c r="AL500" s="90"/>
      <c r="AM500" s="90"/>
      <c r="AN500" s="90"/>
      <c r="AO500" s="90"/>
      <c r="AP500" s="90"/>
      <c r="AQ500" s="90"/>
      <c r="AR500" s="90"/>
      <c r="AS500" s="90"/>
      <c r="AT500" s="90"/>
    </row>
  </sheetData>
  <autoFilter ref="A14:BO94" xr:uid="{8C711ADF-0162-4581-8AC1-696475C5653D}"/>
  <mergeCells count="16">
    <mergeCell ref="E97:I97"/>
    <mergeCell ref="M97:P97"/>
    <mergeCell ref="R13:T13"/>
    <mergeCell ref="A1:Q1"/>
    <mergeCell ref="A3:Q3"/>
    <mergeCell ref="A4:Q4"/>
    <mergeCell ref="A13:A14"/>
    <mergeCell ref="B13:B14"/>
    <mergeCell ref="C13:C14"/>
    <mergeCell ref="E13:E14"/>
    <mergeCell ref="F13:F14"/>
    <mergeCell ref="G13:G14"/>
    <mergeCell ref="H13:H14"/>
    <mergeCell ref="D13:D14"/>
    <mergeCell ref="I13:L13"/>
    <mergeCell ref="M13:Q13"/>
  </mergeCells>
  <conditionalFormatting sqref="C15">
    <cfRule type="expression" priority="14" stopIfTrue="1">
      <formula>#REF!</formula>
    </cfRule>
  </conditionalFormatting>
  <conditionalFormatting sqref="C29">
    <cfRule type="expression" priority="3" stopIfTrue="1">
      <formula>#REF!</formula>
    </cfRule>
  </conditionalFormatting>
  <conditionalFormatting sqref="C34:C35">
    <cfRule type="expression" priority="2" stopIfTrue="1">
      <formula>#REF!</formula>
    </cfRule>
  </conditionalFormatting>
  <conditionalFormatting sqref="C62">
    <cfRule type="expression" priority="6" stopIfTrue="1">
      <formula>#REF!</formula>
    </cfRule>
  </conditionalFormatting>
  <conditionalFormatting sqref="C65">
    <cfRule type="expression" priority="5" stopIfTrue="1">
      <formula>#REF!</formula>
    </cfRule>
  </conditionalFormatting>
  <conditionalFormatting sqref="C75">
    <cfRule type="expression" priority="9" stopIfTrue="1">
      <formula>#REF!</formula>
    </cfRule>
  </conditionalFormatting>
  <conditionalFormatting sqref="C78:C79">
    <cfRule type="expression" priority="8" stopIfTrue="1">
      <formula>#REF!</formula>
    </cfRule>
  </conditionalFormatting>
  <hyperlinks>
    <hyperlink ref="D17" r:id="rId1" display="https://www.elektrika.lv/lv/schneider-electric" xr:uid="{B0F87526-D63F-4DE6-A9A6-086672F384B2}"/>
  </hyperlinks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3576-5E0F-4E57-93D5-B117300BE773}">
  <sheetPr>
    <tabColor rgb="FF00B050"/>
    <pageSetUpPr fitToPage="1"/>
  </sheetPr>
  <dimension ref="A1:BO498"/>
  <sheetViews>
    <sheetView showZeros="0" zoomScale="90" zoomScaleNormal="90" workbookViewId="0">
      <selection activeCell="G91" sqref="G15:Q91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4" width="10.7109375" style="4" customWidth="1"/>
    <col min="5" max="8" width="8.28515625" style="4" customWidth="1"/>
    <col min="9" max="16" width="10.7109375" style="4" customWidth="1"/>
    <col min="17" max="17" width="13.28515625" style="4" customWidth="1"/>
    <col min="18" max="20" width="5.7109375" style="175" customWidth="1" outlineLevel="1"/>
    <col min="21" max="23" width="10.7109375" style="90" customWidth="1" outlineLevel="1"/>
    <col min="24" max="44" width="10.7109375" style="90" customWidth="1"/>
    <col min="45" max="46" width="8.85546875" style="90"/>
    <col min="47" max="67" width="8.85546875" style="54"/>
    <col min="68" max="16384" width="8.85546875" style="4"/>
  </cols>
  <sheetData>
    <row r="1" spans="1:20" ht="15" x14ac:dyDescent="0.2">
      <c r="A1" s="408" t="s">
        <v>385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</row>
    <row r="2" spans="1:20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0" ht="15" x14ac:dyDescent="0.2">
      <c r="A3" s="409" t="str">
        <f>Kopsavilkums!C30</f>
        <v>Ūdensapgāde un kanalizācija (iekšējā) - UK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</row>
    <row r="4" spans="1:20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</row>
    <row r="5" spans="1:20" x14ac:dyDescent="0.2">
      <c r="A5" s="5"/>
      <c r="B5" s="5"/>
      <c r="C5" s="5"/>
      <c r="D5" s="5"/>
      <c r="E5" s="6"/>
      <c r="F5" s="6"/>
      <c r="G5" s="6"/>
      <c r="H5" s="6"/>
      <c r="I5" s="7"/>
      <c r="J5" s="7"/>
      <c r="K5" s="7"/>
      <c r="L5" s="7"/>
      <c r="M5" s="7"/>
      <c r="N5" s="7"/>
      <c r="O5" s="7"/>
      <c r="P5" s="7"/>
      <c r="Q5" s="7"/>
    </row>
    <row r="6" spans="1:20" x14ac:dyDescent="0.2">
      <c r="A6" s="1" t="s">
        <v>64</v>
      </c>
      <c r="B6" s="8"/>
      <c r="C6" s="9"/>
      <c r="D6" s="9"/>
      <c r="E6" s="10"/>
      <c r="F6" s="5"/>
      <c r="G6" s="10"/>
      <c r="H6" s="10"/>
      <c r="I6" s="11"/>
      <c r="J6" s="11"/>
      <c r="K6" s="11"/>
      <c r="L6" s="11"/>
      <c r="M6" s="11"/>
      <c r="N6" s="11"/>
      <c r="O6" s="11"/>
      <c r="P6" s="11"/>
      <c r="Q6" s="11"/>
    </row>
    <row r="7" spans="1:20" x14ac:dyDescent="0.2">
      <c r="A7" s="1" t="s">
        <v>65</v>
      </c>
      <c r="B7" s="8"/>
      <c r="C7" s="12"/>
      <c r="D7" s="12"/>
      <c r="E7" s="10"/>
      <c r="F7" s="5"/>
      <c r="G7" s="10"/>
      <c r="H7" s="10"/>
      <c r="I7" s="11"/>
      <c r="J7" s="13"/>
      <c r="K7" s="11"/>
      <c r="L7" s="11"/>
      <c r="M7" s="11"/>
      <c r="N7" s="11"/>
      <c r="O7" s="11"/>
      <c r="P7" s="11"/>
      <c r="Q7" s="11"/>
    </row>
    <row r="8" spans="1:20" x14ac:dyDescent="0.2">
      <c r="A8" s="2" t="s">
        <v>66</v>
      </c>
      <c r="B8" s="8"/>
      <c r="C8" s="12"/>
      <c r="D8" s="12"/>
      <c r="E8" s="10"/>
      <c r="F8" s="5"/>
      <c r="G8" s="10"/>
      <c r="H8" s="10"/>
      <c r="I8" s="11"/>
      <c r="J8" s="13"/>
      <c r="K8" s="11"/>
      <c r="L8" s="11"/>
      <c r="M8" s="11"/>
      <c r="N8" s="11"/>
      <c r="O8" s="11"/>
      <c r="P8" s="11"/>
      <c r="Q8" s="11"/>
    </row>
    <row r="9" spans="1:20" x14ac:dyDescent="0.2">
      <c r="A9" s="1" t="s">
        <v>54</v>
      </c>
      <c r="B9" s="8"/>
      <c r="C9" s="8"/>
      <c r="D9" s="8"/>
      <c r="E9" s="10"/>
      <c r="F9" s="14"/>
      <c r="G9" s="10"/>
      <c r="H9" s="10"/>
      <c r="I9" s="5"/>
      <c r="J9" s="15"/>
      <c r="K9" s="5"/>
      <c r="L9" s="16"/>
      <c r="M9" s="11"/>
      <c r="N9" s="11"/>
      <c r="O9" s="11"/>
      <c r="P9" s="17" t="s">
        <v>0</v>
      </c>
      <c r="Q9" s="18">
        <f>Q92</f>
        <v>0</v>
      </c>
    </row>
    <row r="10" spans="1:20" ht="4.9000000000000004" customHeight="1" x14ac:dyDescent="0.2">
      <c r="A10" s="8"/>
      <c r="B10" s="8"/>
      <c r="C10" s="8"/>
      <c r="D10" s="8"/>
      <c r="E10" s="10"/>
      <c r="F10" s="10"/>
      <c r="G10" s="10"/>
      <c r="H10" s="10"/>
      <c r="I10" s="5"/>
      <c r="J10" s="15"/>
      <c r="K10" s="5"/>
      <c r="L10" s="19"/>
      <c r="M10" s="11"/>
      <c r="N10" s="11"/>
      <c r="O10" s="11"/>
      <c r="P10" s="11"/>
      <c r="Q10" s="11"/>
    </row>
    <row r="11" spans="1:20" x14ac:dyDescent="0.2">
      <c r="A11" s="107" t="s">
        <v>67</v>
      </c>
      <c r="B11" s="20"/>
      <c r="C11" s="21"/>
      <c r="D11" s="21"/>
      <c r="E11" s="10"/>
      <c r="F11" s="10"/>
      <c r="G11" s="10"/>
      <c r="H11" s="10"/>
      <c r="I11" s="11"/>
      <c r="J11" s="11"/>
      <c r="K11" s="11"/>
      <c r="L11" s="11"/>
      <c r="M11" s="11"/>
      <c r="N11" s="11"/>
      <c r="O11" s="11"/>
      <c r="P11" s="11"/>
      <c r="Q11" s="22" t="str">
        <f>Kopsavilkums!H$9</f>
        <v xml:space="preserve">Tāme sastādīta: </v>
      </c>
    </row>
    <row r="12" spans="1:20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3"/>
      <c r="I12" s="24"/>
      <c r="J12" s="24"/>
      <c r="K12" s="24"/>
      <c r="L12" s="24"/>
      <c r="M12" s="24"/>
      <c r="N12" s="24"/>
      <c r="O12" s="24"/>
      <c r="P12" s="24"/>
      <c r="Q12" s="24"/>
    </row>
    <row r="13" spans="1:20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47</v>
      </c>
      <c r="E13" s="416" t="s">
        <v>4</v>
      </c>
      <c r="F13" s="418" t="s">
        <v>5</v>
      </c>
      <c r="G13" s="412" t="s">
        <v>6</v>
      </c>
      <c r="H13" s="420" t="s">
        <v>19</v>
      </c>
      <c r="I13" s="404" t="s">
        <v>7</v>
      </c>
      <c r="J13" s="405"/>
      <c r="K13" s="405"/>
      <c r="L13" s="406"/>
      <c r="M13" s="405" t="s">
        <v>8</v>
      </c>
      <c r="N13" s="405"/>
      <c r="O13" s="405"/>
      <c r="P13" s="405"/>
      <c r="Q13" s="406"/>
      <c r="R13" s="403"/>
      <c r="S13" s="403"/>
      <c r="T13" s="403"/>
    </row>
    <row r="14" spans="1:20" ht="34.9" customHeight="1" thickBot="1" x14ac:dyDescent="0.25">
      <c r="A14" s="413"/>
      <c r="B14" s="415"/>
      <c r="C14" s="415"/>
      <c r="D14" s="424"/>
      <c r="E14" s="417"/>
      <c r="F14" s="419"/>
      <c r="G14" s="413"/>
      <c r="H14" s="421"/>
      <c r="I14" s="56" t="s">
        <v>17</v>
      </c>
      <c r="J14" s="60" t="s">
        <v>16</v>
      </c>
      <c r="K14" s="57" t="s">
        <v>15</v>
      </c>
      <c r="L14" s="58" t="s">
        <v>18</v>
      </c>
      <c r="M14" s="58" t="s">
        <v>9</v>
      </c>
      <c r="N14" s="56" t="s">
        <v>17</v>
      </c>
      <c r="O14" s="60" t="s">
        <v>16</v>
      </c>
      <c r="P14" s="57" t="s">
        <v>15</v>
      </c>
      <c r="Q14" s="59" t="s">
        <v>14</v>
      </c>
      <c r="R14" s="196"/>
      <c r="S14" s="196"/>
      <c r="T14" s="196"/>
    </row>
    <row r="15" spans="1:20" ht="25.5" x14ac:dyDescent="0.2">
      <c r="A15" s="333"/>
      <c r="B15" s="138"/>
      <c r="C15" s="177" t="str">
        <f>A3</f>
        <v>Ūdensapgāde un kanalizācija (iekšējā) - UK</v>
      </c>
      <c r="D15" s="314"/>
      <c r="E15" s="139"/>
      <c r="F15" s="140"/>
      <c r="G15" s="119"/>
      <c r="H15" s="61"/>
      <c r="I15" s="26"/>
      <c r="J15" s="27"/>
      <c r="K15" s="27"/>
      <c r="L15" s="25"/>
      <c r="M15" s="25"/>
      <c r="N15" s="26"/>
      <c r="O15" s="27"/>
      <c r="P15" s="28"/>
      <c r="Q15" s="29"/>
    </row>
    <row r="16" spans="1:20" ht="22.5" x14ac:dyDescent="0.2">
      <c r="A16" s="341"/>
      <c r="B16" s="121"/>
      <c r="C16" s="132" t="s">
        <v>151</v>
      </c>
      <c r="D16" s="315"/>
      <c r="E16" s="316"/>
      <c r="F16" s="203"/>
      <c r="G16" s="119"/>
      <c r="H16" s="61"/>
      <c r="I16" s="26"/>
      <c r="J16" s="27"/>
      <c r="K16" s="27"/>
      <c r="L16" s="25"/>
      <c r="M16" s="25"/>
      <c r="N16" s="26"/>
      <c r="O16" s="27"/>
      <c r="P16" s="28"/>
      <c r="Q16" s="29"/>
    </row>
    <row r="17" spans="1:17" ht="21" x14ac:dyDescent="0.2">
      <c r="A17" s="341">
        <v>1</v>
      </c>
      <c r="B17" s="121"/>
      <c r="C17" s="120" t="s">
        <v>152</v>
      </c>
      <c r="D17" s="123" t="s">
        <v>153</v>
      </c>
      <c r="E17" s="121" t="s">
        <v>44</v>
      </c>
      <c r="F17" s="126">
        <v>26</v>
      </c>
      <c r="G17" s="119"/>
      <c r="H17" s="61"/>
      <c r="I17" s="26"/>
      <c r="J17" s="27"/>
      <c r="K17" s="27"/>
      <c r="L17" s="25"/>
      <c r="M17" s="25"/>
      <c r="N17" s="26"/>
      <c r="O17" s="27"/>
      <c r="P17" s="28"/>
      <c r="Q17" s="29"/>
    </row>
    <row r="18" spans="1:17" ht="21" x14ac:dyDescent="0.2">
      <c r="A18" s="341">
        <v>2</v>
      </c>
      <c r="B18" s="121"/>
      <c r="C18" s="120" t="s">
        <v>152</v>
      </c>
      <c r="D18" s="123" t="s">
        <v>154</v>
      </c>
      <c r="E18" s="121" t="s">
        <v>44</v>
      </c>
      <c r="F18" s="126">
        <v>95</v>
      </c>
      <c r="G18" s="119"/>
      <c r="H18" s="61"/>
      <c r="I18" s="26"/>
      <c r="J18" s="27"/>
      <c r="K18" s="27"/>
      <c r="L18" s="25"/>
      <c r="M18" s="25"/>
      <c r="N18" s="26"/>
      <c r="O18" s="27"/>
      <c r="P18" s="28"/>
      <c r="Q18" s="29"/>
    </row>
    <row r="19" spans="1:17" ht="21" x14ac:dyDescent="0.2">
      <c r="A19" s="341">
        <v>3</v>
      </c>
      <c r="B19" s="121"/>
      <c r="C19" s="120" t="s">
        <v>152</v>
      </c>
      <c r="D19" s="123" t="s">
        <v>155</v>
      </c>
      <c r="E19" s="121" t="s">
        <v>44</v>
      </c>
      <c r="F19" s="126">
        <v>76</v>
      </c>
      <c r="G19" s="119"/>
      <c r="H19" s="61"/>
      <c r="I19" s="26"/>
      <c r="J19" s="27"/>
      <c r="K19" s="27"/>
      <c r="L19" s="25"/>
      <c r="M19" s="25"/>
      <c r="N19" s="26"/>
      <c r="O19" s="27"/>
      <c r="P19" s="28"/>
      <c r="Q19" s="29"/>
    </row>
    <row r="20" spans="1:17" ht="21" x14ac:dyDescent="0.2">
      <c r="A20" s="341">
        <v>4</v>
      </c>
      <c r="B20" s="121"/>
      <c r="C20" s="120" t="s">
        <v>152</v>
      </c>
      <c r="D20" s="123" t="s">
        <v>590</v>
      </c>
      <c r="E20" s="121" t="s">
        <v>44</v>
      </c>
      <c r="F20" s="126">
        <v>4</v>
      </c>
      <c r="G20" s="119"/>
      <c r="H20" s="61"/>
      <c r="I20" s="26"/>
      <c r="J20" s="27"/>
      <c r="K20" s="27"/>
      <c r="L20" s="25"/>
      <c r="M20" s="25"/>
      <c r="N20" s="26"/>
      <c r="O20" s="27"/>
      <c r="P20" s="28"/>
      <c r="Q20" s="29"/>
    </row>
    <row r="21" spans="1:17" ht="22.5" x14ac:dyDescent="0.2">
      <c r="A21" s="341">
        <v>5</v>
      </c>
      <c r="B21" s="121"/>
      <c r="C21" s="120" t="s">
        <v>156</v>
      </c>
      <c r="D21" s="123" t="s">
        <v>157</v>
      </c>
      <c r="E21" s="121" t="s">
        <v>44</v>
      </c>
      <c r="F21" s="126">
        <v>40</v>
      </c>
      <c r="G21" s="119"/>
      <c r="H21" s="61"/>
      <c r="I21" s="26"/>
      <c r="J21" s="27"/>
      <c r="K21" s="27"/>
      <c r="L21" s="25"/>
      <c r="M21" s="25"/>
      <c r="N21" s="26"/>
      <c r="O21" s="27"/>
      <c r="P21" s="28"/>
      <c r="Q21" s="29"/>
    </row>
    <row r="22" spans="1:17" ht="22.5" x14ac:dyDescent="0.2">
      <c r="A22" s="341">
        <v>6</v>
      </c>
      <c r="B22" s="121"/>
      <c r="C22" s="120" t="s">
        <v>156</v>
      </c>
      <c r="D22" s="123" t="s">
        <v>196</v>
      </c>
      <c r="E22" s="121" t="s">
        <v>44</v>
      </c>
      <c r="F22" s="126">
        <v>21</v>
      </c>
      <c r="G22" s="119"/>
      <c r="H22" s="61"/>
      <c r="I22" s="26"/>
      <c r="J22" s="27"/>
      <c r="K22" s="27"/>
      <c r="L22" s="25"/>
      <c r="M22" s="25"/>
      <c r="N22" s="26"/>
      <c r="O22" s="27"/>
      <c r="P22" s="28"/>
      <c r="Q22" s="29"/>
    </row>
    <row r="23" spans="1:17" ht="22.5" x14ac:dyDescent="0.2">
      <c r="A23" s="341">
        <v>7</v>
      </c>
      <c r="B23" s="121"/>
      <c r="C23" s="120" t="s">
        <v>156</v>
      </c>
      <c r="D23" s="123" t="s">
        <v>158</v>
      </c>
      <c r="E23" s="121" t="s">
        <v>44</v>
      </c>
      <c r="F23" s="126">
        <v>9</v>
      </c>
      <c r="G23" s="119"/>
      <c r="H23" s="61"/>
      <c r="I23" s="26"/>
      <c r="J23" s="27"/>
      <c r="K23" s="27"/>
      <c r="L23" s="25"/>
      <c r="M23" s="25"/>
      <c r="N23" s="26"/>
      <c r="O23" s="27"/>
      <c r="P23" s="28"/>
      <c r="Q23" s="29"/>
    </row>
    <row r="24" spans="1:17" ht="22.5" x14ac:dyDescent="0.2">
      <c r="A24" s="341">
        <v>8</v>
      </c>
      <c r="B24" s="121"/>
      <c r="C24" s="120" t="s">
        <v>156</v>
      </c>
      <c r="D24" s="123" t="s">
        <v>159</v>
      </c>
      <c r="E24" s="121" t="s">
        <v>44</v>
      </c>
      <c r="F24" s="126">
        <v>19</v>
      </c>
      <c r="G24" s="119"/>
      <c r="H24" s="61"/>
      <c r="I24" s="26"/>
      <c r="J24" s="27"/>
      <c r="K24" s="27"/>
      <c r="L24" s="25"/>
      <c r="M24" s="25"/>
      <c r="N24" s="26"/>
      <c r="O24" s="27"/>
      <c r="P24" s="28"/>
      <c r="Q24" s="29"/>
    </row>
    <row r="25" spans="1:17" ht="22.5" x14ac:dyDescent="0.2">
      <c r="A25" s="341">
        <v>9</v>
      </c>
      <c r="B25" s="121"/>
      <c r="C25" s="120" t="s">
        <v>156</v>
      </c>
      <c r="D25" s="123" t="s">
        <v>160</v>
      </c>
      <c r="E25" s="121" t="s">
        <v>44</v>
      </c>
      <c r="F25" s="126">
        <v>4</v>
      </c>
      <c r="G25" s="119"/>
      <c r="H25" s="61"/>
      <c r="I25" s="26"/>
      <c r="J25" s="27"/>
      <c r="K25" s="27"/>
      <c r="L25" s="25"/>
      <c r="M25" s="25"/>
      <c r="N25" s="26"/>
      <c r="O25" s="27"/>
      <c r="P25" s="28"/>
      <c r="Q25" s="29"/>
    </row>
    <row r="26" spans="1:17" ht="22.5" x14ac:dyDescent="0.2">
      <c r="A26" s="341">
        <v>10</v>
      </c>
      <c r="B26" s="121"/>
      <c r="C26" s="120" t="s">
        <v>156</v>
      </c>
      <c r="D26" s="123" t="s">
        <v>161</v>
      </c>
      <c r="E26" s="121" t="s">
        <v>44</v>
      </c>
      <c r="F26" s="126">
        <v>3</v>
      </c>
      <c r="G26" s="119"/>
      <c r="H26" s="61"/>
      <c r="I26" s="26"/>
      <c r="J26" s="27"/>
      <c r="K26" s="27"/>
      <c r="L26" s="25"/>
      <c r="M26" s="25"/>
      <c r="N26" s="26"/>
      <c r="O26" s="27"/>
      <c r="P26" s="28"/>
      <c r="Q26" s="29"/>
    </row>
    <row r="27" spans="1:17" x14ac:dyDescent="0.2">
      <c r="A27" s="341">
        <v>11</v>
      </c>
      <c r="B27" s="121"/>
      <c r="C27" s="120" t="s">
        <v>162</v>
      </c>
      <c r="D27" s="123" t="s">
        <v>157</v>
      </c>
      <c r="E27" s="121" t="s">
        <v>163</v>
      </c>
      <c r="F27" s="126">
        <v>9</v>
      </c>
      <c r="G27" s="119"/>
      <c r="H27" s="61"/>
      <c r="I27" s="26"/>
      <c r="J27" s="27"/>
      <c r="K27" s="27"/>
      <c r="L27" s="25"/>
      <c r="M27" s="25"/>
      <c r="N27" s="26"/>
      <c r="O27" s="27"/>
      <c r="P27" s="28"/>
      <c r="Q27" s="29"/>
    </row>
    <row r="28" spans="1:17" x14ac:dyDescent="0.2">
      <c r="A28" s="341">
        <v>12</v>
      </c>
      <c r="B28" s="121"/>
      <c r="C28" s="120" t="s">
        <v>162</v>
      </c>
      <c r="D28" s="123" t="s">
        <v>196</v>
      </c>
      <c r="E28" s="121" t="s">
        <v>163</v>
      </c>
      <c r="F28" s="126">
        <v>2</v>
      </c>
      <c r="G28" s="119"/>
      <c r="H28" s="61"/>
      <c r="I28" s="26"/>
      <c r="J28" s="27"/>
      <c r="K28" s="27"/>
      <c r="L28" s="25"/>
      <c r="M28" s="25"/>
      <c r="N28" s="26"/>
      <c r="O28" s="27"/>
      <c r="P28" s="28"/>
      <c r="Q28" s="29"/>
    </row>
    <row r="29" spans="1:17" x14ac:dyDescent="0.2">
      <c r="A29" s="341">
        <v>13</v>
      </c>
      <c r="B29" s="121"/>
      <c r="C29" s="120" t="s">
        <v>162</v>
      </c>
      <c r="D29" s="123" t="s">
        <v>158</v>
      </c>
      <c r="E29" s="121" t="s">
        <v>163</v>
      </c>
      <c r="F29" s="126">
        <v>8</v>
      </c>
      <c r="G29" s="119"/>
      <c r="H29" s="61"/>
      <c r="I29" s="26"/>
      <c r="J29" s="27"/>
      <c r="K29" s="27"/>
      <c r="L29" s="25"/>
      <c r="M29" s="25"/>
      <c r="N29" s="26"/>
      <c r="O29" s="27"/>
      <c r="P29" s="28"/>
      <c r="Q29" s="29"/>
    </row>
    <row r="30" spans="1:17" x14ac:dyDescent="0.2">
      <c r="A30" s="341">
        <v>14</v>
      </c>
      <c r="B30" s="121"/>
      <c r="C30" s="120" t="s">
        <v>162</v>
      </c>
      <c r="D30" s="123" t="s">
        <v>159</v>
      </c>
      <c r="E30" s="121" t="s">
        <v>163</v>
      </c>
      <c r="F30" s="126">
        <v>4</v>
      </c>
      <c r="G30" s="119"/>
      <c r="H30" s="61"/>
      <c r="I30" s="26"/>
      <c r="J30" s="27"/>
      <c r="K30" s="27"/>
      <c r="L30" s="25"/>
      <c r="M30" s="25"/>
      <c r="N30" s="26"/>
      <c r="O30" s="27"/>
      <c r="P30" s="28"/>
      <c r="Q30" s="29"/>
    </row>
    <row r="31" spans="1:17" x14ac:dyDescent="0.2">
      <c r="A31" s="341">
        <v>15</v>
      </c>
      <c r="B31" s="121"/>
      <c r="C31" s="120" t="s">
        <v>162</v>
      </c>
      <c r="D31" s="123" t="s">
        <v>160</v>
      </c>
      <c r="E31" s="121" t="s">
        <v>163</v>
      </c>
      <c r="F31" s="126">
        <v>2</v>
      </c>
      <c r="G31" s="119"/>
      <c r="H31" s="61"/>
      <c r="I31" s="26"/>
      <c r="J31" s="27"/>
      <c r="K31" s="27"/>
      <c r="L31" s="25"/>
      <c r="M31" s="25"/>
      <c r="N31" s="26"/>
      <c r="O31" s="27"/>
      <c r="P31" s="28"/>
      <c r="Q31" s="29"/>
    </row>
    <row r="32" spans="1:17" x14ac:dyDescent="0.2">
      <c r="A32" s="341">
        <v>16</v>
      </c>
      <c r="B32" s="121"/>
      <c r="C32" s="120" t="s">
        <v>164</v>
      </c>
      <c r="D32" s="123" t="s">
        <v>158</v>
      </c>
      <c r="E32" s="121" t="s">
        <v>163</v>
      </c>
      <c r="F32" s="126">
        <v>1</v>
      </c>
      <c r="G32" s="119"/>
      <c r="H32" s="61"/>
      <c r="I32" s="26"/>
      <c r="J32" s="27"/>
      <c r="K32" s="27"/>
      <c r="L32" s="25"/>
      <c r="M32" s="25"/>
      <c r="N32" s="26"/>
      <c r="O32" s="27"/>
      <c r="P32" s="28"/>
      <c r="Q32" s="29"/>
    </row>
    <row r="33" spans="1:17" x14ac:dyDescent="0.2">
      <c r="A33" s="341">
        <v>17</v>
      </c>
      <c r="B33" s="121"/>
      <c r="C33" s="120" t="s">
        <v>164</v>
      </c>
      <c r="D33" s="123" t="s">
        <v>159</v>
      </c>
      <c r="E33" s="121" t="s">
        <v>163</v>
      </c>
      <c r="F33" s="126">
        <v>1</v>
      </c>
      <c r="G33" s="119"/>
      <c r="H33" s="61"/>
      <c r="I33" s="26"/>
      <c r="J33" s="27"/>
      <c r="K33" s="27"/>
      <c r="L33" s="25"/>
      <c r="M33" s="25"/>
      <c r="N33" s="26"/>
      <c r="O33" s="27"/>
      <c r="P33" s="28"/>
      <c r="Q33" s="29"/>
    </row>
    <row r="34" spans="1:17" ht="33.75" x14ac:dyDescent="0.2">
      <c r="A34" s="341">
        <v>18</v>
      </c>
      <c r="B34" s="121"/>
      <c r="C34" s="120" t="s">
        <v>165</v>
      </c>
      <c r="D34" s="123" t="s">
        <v>166</v>
      </c>
      <c r="E34" s="121" t="s">
        <v>44</v>
      </c>
      <c r="F34" s="126">
        <v>40</v>
      </c>
      <c r="G34" s="119"/>
      <c r="H34" s="61"/>
      <c r="I34" s="26"/>
      <c r="J34" s="27"/>
      <c r="K34" s="27"/>
      <c r="L34" s="25"/>
      <c r="M34" s="25"/>
      <c r="N34" s="26"/>
      <c r="O34" s="27"/>
      <c r="P34" s="28"/>
      <c r="Q34" s="29"/>
    </row>
    <row r="35" spans="1:17" ht="33.75" x14ac:dyDescent="0.2">
      <c r="A35" s="341">
        <v>19</v>
      </c>
      <c r="B35" s="121"/>
      <c r="C35" s="120" t="s">
        <v>165</v>
      </c>
      <c r="D35" s="123" t="s">
        <v>621</v>
      </c>
      <c r="E35" s="121" t="s">
        <v>44</v>
      </c>
      <c r="F35" s="126">
        <v>21</v>
      </c>
      <c r="G35" s="119"/>
      <c r="H35" s="61"/>
      <c r="I35" s="26"/>
      <c r="J35" s="27"/>
      <c r="K35" s="27"/>
      <c r="L35" s="25"/>
      <c r="M35" s="25"/>
      <c r="N35" s="26"/>
      <c r="O35" s="27"/>
      <c r="P35" s="28"/>
      <c r="Q35" s="29"/>
    </row>
    <row r="36" spans="1:17" ht="33.75" x14ac:dyDescent="0.2">
      <c r="A36" s="341">
        <v>20</v>
      </c>
      <c r="B36" s="121"/>
      <c r="C36" s="120" t="s">
        <v>165</v>
      </c>
      <c r="D36" s="123" t="s">
        <v>167</v>
      </c>
      <c r="E36" s="121" t="s">
        <v>44</v>
      </c>
      <c r="F36" s="126">
        <v>9</v>
      </c>
      <c r="G36" s="119"/>
      <c r="H36" s="61"/>
      <c r="I36" s="26"/>
      <c r="J36" s="27"/>
      <c r="K36" s="27"/>
      <c r="L36" s="25"/>
      <c r="M36" s="25"/>
      <c r="N36" s="26"/>
      <c r="O36" s="27"/>
      <c r="P36" s="28"/>
      <c r="Q36" s="29"/>
    </row>
    <row r="37" spans="1:17" ht="33.75" x14ac:dyDescent="0.2">
      <c r="A37" s="341">
        <v>21</v>
      </c>
      <c r="B37" s="121"/>
      <c r="C37" s="120" t="s">
        <v>165</v>
      </c>
      <c r="D37" s="123" t="s">
        <v>168</v>
      </c>
      <c r="E37" s="121" t="s">
        <v>44</v>
      </c>
      <c r="F37" s="126">
        <v>19</v>
      </c>
      <c r="G37" s="119"/>
      <c r="H37" s="61"/>
      <c r="I37" s="26"/>
      <c r="J37" s="27"/>
      <c r="K37" s="27"/>
      <c r="L37" s="25"/>
      <c r="M37" s="25"/>
      <c r="N37" s="26"/>
      <c r="O37" s="27"/>
      <c r="P37" s="28"/>
      <c r="Q37" s="29"/>
    </row>
    <row r="38" spans="1:17" ht="33.75" x14ac:dyDescent="0.2">
      <c r="A38" s="341">
        <v>22</v>
      </c>
      <c r="B38" s="121"/>
      <c r="C38" s="120" t="s">
        <v>165</v>
      </c>
      <c r="D38" s="123" t="s">
        <v>169</v>
      </c>
      <c r="E38" s="121" t="s">
        <v>44</v>
      </c>
      <c r="F38" s="126">
        <v>4</v>
      </c>
      <c r="G38" s="119"/>
      <c r="H38" s="61"/>
      <c r="I38" s="26"/>
      <c r="J38" s="27"/>
      <c r="K38" s="27"/>
      <c r="L38" s="25"/>
      <c r="M38" s="25"/>
      <c r="N38" s="26"/>
      <c r="O38" s="27"/>
      <c r="P38" s="28"/>
      <c r="Q38" s="29"/>
    </row>
    <row r="39" spans="1:17" ht="33.75" x14ac:dyDescent="0.2">
      <c r="A39" s="341">
        <v>23</v>
      </c>
      <c r="B39" s="121"/>
      <c r="C39" s="120" t="s">
        <v>165</v>
      </c>
      <c r="D39" s="123" t="s">
        <v>170</v>
      </c>
      <c r="E39" s="121" t="s">
        <v>44</v>
      </c>
      <c r="F39" s="126">
        <v>3</v>
      </c>
      <c r="G39" s="119"/>
      <c r="H39" s="61"/>
      <c r="I39" s="26"/>
      <c r="J39" s="27"/>
      <c r="K39" s="27"/>
      <c r="L39" s="25"/>
      <c r="M39" s="25"/>
      <c r="N39" s="26"/>
      <c r="O39" s="27"/>
      <c r="P39" s="28"/>
      <c r="Q39" s="29"/>
    </row>
    <row r="40" spans="1:17" x14ac:dyDescent="0.2">
      <c r="A40" s="341">
        <v>24</v>
      </c>
      <c r="B40" s="121"/>
      <c r="C40" s="317" t="s">
        <v>171</v>
      </c>
      <c r="D40" s="123" t="s">
        <v>172</v>
      </c>
      <c r="E40" s="121" t="s">
        <v>44</v>
      </c>
      <c r="F40" s="126">
        <v>16</v>
      </c>
      <c r="G40" s="119"/>
      <c r="H40" s="61"/>
      <c r="I40" s="26"/>
      <c r="J40" s="27"/>
      <c r="K40" s="27"/>
      <c r="L40" s="25"/>
      <c r="M40" s="25"/>
      <c r="N40" s="26"/>
      <c r="O40" s="27"/>
      <c r="P40" s="28"/>
      <c r="Q40" s="29"/>
    </row>
    <row r="41" spans="1:17" x14ac:dyDescent="0.2">
      <c r="A41" s="341">
        <v>25</v>
      </c>
      <c r="B41" s="121"/>
      <c r="C41" s="120" t="s">
        <v>173</v>
      </c>
      <c r="D41" s="123"/>
      <c r="E41" s="121" t="s">
        <v>44</v>
      </c>
      <c r="F41" s="126">
        <v>12</v>
      </c>
      <c r="G41" s="119"/>
      <c r="H41" s="61"/>
      <c r="I41" s="26"/>
      <c r="J41" s="27"/>
      <c r="K41" s="27"/>
      <c r="L41" s="25"/>
      <c r="M41" s="25"/>
      <c r="N41" s="26"/>
      <c r="O41" s="27"/>
      <c r="P41" s="28"/>
      <c r="Q41" s="29"/>
    </row>
    <row r="42" spans="1:17" x14ac:dyDescent="0.2">
      <c r="A42" s="341">
        <v>26</v>
      </c>
      <c r="B42" s="121"/>
      <c r="C42" s="120" t="s">
        <v>174</v>
      </c>
      <c r="D42" s="123"/>
      <c r="E42" s="121" t="s">
        <v>175</v>
      </c>
      <c r="F42" s="126">
        <v>1</v>
      </c>
      <c r="G42" s="119"/>
      <c r="H42" s="61"/>
      <c r="I42" s="26"/>
      <c r="J42" s="27"/>
      <c r="K42" s="27"/>
      <c r="L42" s="25"/>
      <c r="M42" s="25"/>
      <c r="N42" s="26"/>
      <c r="O42" s="27"/>
      <c r="P42" s="28"/>
      <c r="Q42" s="29"/>
    </row>
    <row r="43" spans="1:17" x14ac:dyDescent="0.2">
      <c r="A43" s="341">
        <v>27</v>
      </c>
      <c r="B43" s="121"/>
      <c r="C43" s="120" t="s">
        <v>176</v>
      </c>
      <c r="D43" s="123"/>
      <c r="E43" s="121" t="s">
        <v>177</v>
      </c>
      <c r="F43" s="126">
        <v>1</v>
      </c>
      <c r="G43" s="119"/>
      <c r="H43" s="61"/>
      <c r="I43" s="26"/>
      <c r="J43" s="27"/>
      <c r="K43" s="27"/>
      <c r="L43" s="25"/>
      <c r="M43" s="25"/>
      <c r="N43" s="26"/>
      <c r="O43" s="27"/>
      <c r="P43" s="28"/>
      <c r="Q43" s="29"/>
    </row>
    <row r="44" spans="1:17" x14ac:dyDescent="0.2">
      <c r="A44" s="341">
        <v>28</v>
      </c>
      <c r="B44" s="121"/>
      <c r="C44" s="120" t="s">
        <v>178</v>
      </c>
      <c r="D44" s="123" t="s">
        <v>179</v>
      </c>
      <c r="E44" s="121" t="s">
        <v>175</v>
      </c>
      <c r="F44" s="126">
        <v>1</v>
      </c>
      <c r="G44" s="119"/>
      <c r="H44" s="61"/>
      <c r="I44" s="26"/>
      <c r="J44" s="27"/>
      <c r="K44" s="27"/>
      <c r="L44" s="25"/>
      <c r="M44" s="25"/>
      <c r="N44" s="26"/>
      <c r="O44" s="27"/>
      <c r="P44" s="28"/>
      <c r="Q44" s="29"/>
    </row>
    <row r="45" spans="1:17" ht="22.5" x14ac:dyDescent="0.2">
      <c r="A45" s="341">
        <v>29</v>
      </c>
      <c r="B45" s="121"/>
      <c r="C45" s="120" t="s">
        <v>180</v>
      </c>
      <c r="D45" s="123" t="s">
        <v>181</v>
      </c>
      <c r="E45" s="121" t="s">
        <v>175</v>
      </c>
      <c r="F45" s="126">
        <v>1</v>
      </c>
      <c r="G45" s="119"/>
      <c r="H45" s="61"/>
      <c r="I45" s="26"/>
      <c r="J45" s="27"/>
      <c r="K45" s="27"/>
      <c r="L45" s="25"/>
      <c r="M45" s="25"/>
      <c r="N45" s="26"/>
      <c r="O45" s="27"/>
      <c r="P45" s="28"/>
      <c r="Q45" s="29"/>
    </row>
    <row r="46" spans="1:17" ht="22.5" x14ac:dyDescent="0.2">
      <c r="A46" s="341">
        <v>30</v>
      </c>
      <c r="B46" s="121"/>
      <c r="C46" s="120" t="s">
        <v>182</v>
      </c>
      <c r="D46" s="123"/>
      <c r="E46" s="121" t="s">
        <v>44</v>
      </c>
      <c r="F46" s="126">
        <v>297</v>
      </c>
      <c r="G46" s="119"/>
      <c r="H46" s="61"/>
      <c r="I46" s="26"/>
      <c r="J46" s="27"/>
      <c r="K46" s="27"/>
      <c r="L46" s="25"/>
      <c r="M46" s="25"/>
      <c r="N46" s="26"/>
      <c r="O46" s="27"/>
      <c r="P46" s="28"/>
      <c r="Q46" s="29"/>
    </row>
    <row r="47" spans="1:17" x14ac:dyDescent="0.2">
      <c r="A47" s="342"/>
      <c r="B47" s="316"/>
      <c r="C47" s="132" t="s">
        <v>183</v>
      </c>
      <c r="D47" s="123"/>
      <c r="E47" s="121" t="s">
        <v>175</v>
      </c>
      <c r="F47" s="126">
        <v>1</v>
      </c>
      <c r="G47" s="119"/>
      <c r="H47" s="61"/>
      <c r="I47" s="26"/>
      <c r="J47" s="27"/>
      <c r="K47" s="27"/>
      <c r="L47" s="25"/>
      <c r="M47" s="25"/>
      <c r="N47" s="26"/>
      <c r="O47" s="27"/>
      <c r="P47" s="28"/>
      <c r="Q47" s="29"/>
    </row>
    <row r="48" spans="1:17" ht="22.5" x14ac:dyDescent="0.2">
      <c r="A48" s="341">
        <v>31</v>
      </c>
      <c r="B48" s="121"/>
      <c r="C48" s="120" t="s">
        <v>184</v>
      </c>
      <c r="D48" s="123" t="s">
        <v>185</v>
      </c>
      <c r="E48" s="121" t="s">
        <v>163</v>
      </c>
      <c r="F48" s="126">
        <v>1</v>
      </c>
      <c r="G48" s="119"/>
      <c r="H48" s="61"/>
      <c r="I48" s="26"/>
      <c r="J48" s="27"/>
      <c r="K48" s="27"/>
      <c r="L48" s="25"/>
      <c r="M48" s="25"/>
      <c r="N48" s="26"/>
      <c r="O48" s="27"/>
      <c r="P48" s="28"/>
      <c r="Q48" s="29"/>
    </row>
    <row r="49" spans="1:17" ht="21" x14ac:dyDescent="0.2">
      <c r="A49" s="341">
        <v>32</v>
      </c>
      <c r="B49" s="121"/>
      <c r="C49" s="120" t="s">
        <v>186</v>
      </c>
      <c r="D49" s="123" t="s">
        <v>187</v>
      </c>
      <c r="E49" s="121" t="s">
        <v>44</v>
      </c>
      <c r="F49" s="126">
        <v>1</v>
      </c>
      <c r="G49" s="119"/>
      <c r="H49" s="61"/>
      <c r="I49" s="26"/>
      <c r="J49" s="27"/>
      <c r="K49" s="27"/>
      <c r="L49" s="25"/>
      <c r="M49" s="25"/>
      <c r="N49" s="26"/>
      <c r="O49" s="27"/>
      <c r="P49" s="28"/>
      <c r="Q49" s="29"/>
    </row>
    <row r="50" spans="1:17" x14ac:dyDescent="0.2">
      <c r="A50" s="341">
        <v>33</v>
      </c>
      <c r="B50" s="121"/>
      <c r="C50" s="120" t="s">
        <v>162</v>
      </c>
      <c r="D50" s="123" t="s">
        <v>185</v>
      </c>
      <c r="E50" s="121" t="s">
        <v>163</v>
      </c>
      <c r="F50" s="126">
        <v>2</v>
      </c>
      <c r="G50" s="119"/>
      <c r="H50" s="61"/>
      <c r="I50" s="26"/>
      <c r="J50" s="27"/>
      <c r="K50" s="27"/>
      <c r="L50" s="25"/>
      <c r="M50" s="25"/>
      <c r="N50" s="26"/>
      <c r="O50" s="27"/>
      <c r="P50" s="28"/>
      <c r="Q50" s="29"/>
    </row>
    <row r="51" spans="1:17" x14ac:dyDescent="0.2">
      <c r="A51" s="341">
        <v>34</v>
      </c>
      <c r="B51" s="121"/>
      <c r="C51" s="120" t="s">
        <v>188</v>
      </c>
      <c r="D51" s="123" t="s">
        <v>189</v>
      </c>
      <c r="E51" s="121" t="s">
        <v>163</v>
      </c>
      <c r="F51" s="126">
        <v>1</v>
      </c>
      <c r="G51" s="119"/>
      <c r="H51" s="61"/>
      <c r="I51" s="26"/>
      <c r="J51" s="27"/>
      <c r="K51" s="27"/>
      <c r="L51" s="25"/>
      <c r="M51" s="25"/>
      <c r="N51" s="26"/>
      <c r="O51" s="27"/>
      <c r="P51" s="28"/>
      <c r="Q51" s="29"/>
    </row>
    <row r="52" spans="1:17" x14ac:dyDescent="0.2">
      <c r="A52" s="341">
        <v>35</v>
      </c>
      <c r="B52" s="121"/>
      <c r="C52" s="120" t="s">
        <v>188</v>
      </c>
      <c r="D52" s="123" t="s">
        <v>190</v>
      </c>
      <c r="E52" s="121" t="s">
        <v>163</v>
      </c>
      <c r="F52" s="126">
        <v>1</v>
      </c>
      <c r="G52" s="119"/>
      <c r="H52" s="61"/>
      <c r="I52" s="26"/>
      <c r="J52" s="27"/>
      <c r="K52" s="27"/>
      <c r="L52" s="25"/>
      <c r="M52" s="25"/>
      <c r="N52" s="26"/>
      <c r="O52" s="27"/>
      <c r="P52" s="28"/>
      <c r="Q52" s="29"/>
    </row>
    <row r="53" spans="1:17" x14ac:dyDescent="0.2">
      <c r="A53" s="341">
        <v>36</v>
      </c>
      <c r="B53" s="121"/>
      <c r="C53" s="120" t="s">
        <v>191</v>
      </c>
      <c r="D53" s="123" t="s">
        <v>192</v>
      </c>
      <c r="E53" s="121" t="s">
        <v>163</v>
      </c>
      <c r="F53" s="126">
        <v>1</v>
      </c>
      <c r="G53" s="119"/>
      <c r="H53" s="61"/>
      <c r="I53" s="26"/>
      <c r="J53" s="27"/>
      <c r="K53" s="27"/>
      <c r="L53" s="25"/>
      <c r="M53" s="25"/>
      <c r="N53" s="26"/>
      <c r="O53" s="27"/>
      <c r="P53" s="28"/>
      <c r="Q53" s="29"/>
    </row>
    <row r="54" spans="1:17" x14ac:dyDescent="0.2">
      <c r="A54" s="341">
        <v>37</v>
      </c>
      <c r="B54" s="121"/>
      <c r="C54" s="120" t="s">
        <v>219</v>
      </c>
      <c r="D54" s="123"/>
      <c r="E54" s="121" t="s">
        <v>163</v>
      </c>
      <c r="F54" s="126">
        <v>1</v>
      </c>
      <c r="G54" s="119"/>
      <c r="H54" s="61"/>
      <c r="I54" s="26"/>
      <c r="J54" s="27"/>
      <c r="K54" s="27"/>
      <c r="L54" s="25"/>
      <c r="M54" s="25"/>
      <c r="N54" s="26"/>
      <c r="O54" s="27"/>
      <c r="P54" s="28"/>
      <c r="Q54" s="29"/>
    </row>
    <row r="55" spans="1:17" x14ac:dyDescent="0.2">
      <c r="A55" s="341">
        <v>38</v>
      </c>
      <c r="B55" s="121"/>
      <c r="C55" s="120" t="s">
        <v>193</v>
      </c>
      <c r="D55" s="123" t="s">
        <v>194</v>
      </c>
      <c r="E55" s="121" t="s">
        <v>163</v>
      </c>
      <c r="F55" s="126">
        <v>1</v>
      </c>
      <c r="G55" s="119"/>
      <c r="H55" s="61"/>
      <c r="I55" s="26"/>
      <c r="J55" s="27"/>
      <c r="K55" s="27"/>
      <c r="L55" s="25"/>
      <c r="M55" s="25"/>
      <c r="N55" s="26"/>
      <c r="O55" s="27"/>
      <c r="P55" s="28"/>
      <c r="Q55" s="29"/>
    </row>
    <row r="56" spans="1:17" x14ac:dyDescent="0.2">
      <c r="A56" s="342"/>
      <c r="B56" s="316"/>
      <c r="C56" s="132" t="s">
        <v>195</v>
      </c>
      <c r="D56" s="315"/>
      <c r="E56" s="316"/>
      <c r="F56" s="203"/>
      <c r="G56" s="119"/>
      <c r="H56" s="61"/>
      <c r="I56" s="26"/>
      <c r="J56" s="27"/>
      <c r="K56" s="27"/>
      <c r="L56" s="25"/>
      <c r="M56" s="25"/>
      <c r="N56" s="26"/>
      <c r="O56" s="27"/>
      <c r="P56" s="28"/>
      <c r="Q56" s="29"/>
    </row>
    <row r="57" spans="1:17" ht="22.5" x14ac:dyDescent="0.2">
      <c r="A57" s="341">
        <v>39</v>
      </c>
      <c r="B57" s="121"/>
      <c r="C57" s="120" t="s">
        <v>156</v>
      </c>
      <c r="D57" s="123" t="s">
        <v>157</v>
      </c>
      <c r="E57" s="121" t="s">
        <v>44</v>
      </c>
      <c r="F57" s="126">
        <v>29</v>
      </c>
      <c r="G57" s="119"/>
      <c r="H57" s="61"/>
      <c r="I57" s="26"/>
      <c r="J57" s="27"/>
      <c r="K57" s="27"/>
      <c r="L57" s="25"/>
      <c r="M57" s="25"/>
      <c r="N57" s="26"/>
      <c r="O57" s="27"/>
      <c r="P57" s="28"/>
      <c r="Q57" s="29"/>
    </row>
    <row r="58" spans="1:17" ht="22.5" x14ac:dyDescent="0.2">
      <c r="A58" s="341">
        <v>40</v>
      </c>
      <c r="B58" s="121"/>
      <c r="C58" s="120" t="s">
        <v>156</v>
      </c>
      <c r="D58" s="123" t="s">
        <v>196</v>
      </c>
      <c r="E58" s="121" t="s">
        <v>44</v>
      </c>
      <c r="F58" s="126">
        <v>13</v>
      </c>
      <c r="G58" s="119"/>
      <c r="H58" s="61"/>
      <c r="I58" s="26"/>
      <c r="J58" s="27"/>
      <c r="K58" s="27"/>
      <c r="L58" s="25"/>
      <c r="M58" s="25"/>
      <c r="N58" s="26"/>
      <c r="O58" s="27"/>
      <c r="P58" s="28"/>
      <c r="Q58" s="29"/>
    </row>
    <row r="59" spans="1:17" ht="22.5" x14ac:dyDescent="0.2">
      <c r="A59" s="341">
        <v>41</v>
      </c>
      <c r="B59" s="121"/>
      <c r="C59" s="120" t="s">
        <v>156</v>
      </c>
      <c r="D59" s="123" t="s">
        <v>158</v>
      </c>
      <c r="E59" s="121" t="s">
        <v>44</v>
      </c>
      <c r="F59" s="126">
        <v>15</v>
      </c>
      <c r="G59" s="119"/>
      <c r="H59" s="61"/>
      <c r="I59" s="26"/>
      <c r="J59" s="27"/>
      <c r="K59" s="27"/>
      <c r="L59" s="25"/>
      <c r="M59" s="25"/>
      <c r="N59" s="26"/>
      <c r="O59" s="27"/>
      <c r="P59" s="28"/>
      <c r="Q59" s="29"/>
    </row>
    <row r="60" spans="1:17" ht="22.5" x14ac:dyDescent="0.2">
      <c r="A60" s="341">
        <v>42</v>
      </c>
      <c r="B60" s="121"/>
      <c r="C60" s="120" t="s">
        <v>197</v>
      </c>
      <c r="D60" s="123" t="s">
        <v>198</v>
      </c>
      <c r="E60" s="121" t="s">
        <v>44</v>
      </c>
      <c r="F60" s="126">
        <v>7</v>
      </c>
      <c r="G60" s="119"/>
      <c r="H60" s="61"/>
      <c r="I60" s="26"/>
      <c r="J60" s="27"/>
      <c r="K60" s="27"/>
      <c r="L60" s="25"/>
      <c r="M60" s="25"/>
      <c r="N60" s="26"/>
      <c r="O60" s="27"/>
      <c r="P60" s="28"/>
      <c r="Q60" s="29"/>
    </row>
    <row r="61" spans="1:17" x14ac:dyDescent="0.2">
      <c r="A61" s="341">
        <v>43</v>
      </c>
      <c r="B61" s="121"/>
      <c r="C61" s="120" t="s">
        <v>162</v>
      </c>
      <c r="D61" s="123" t="s">
        <v>157</v>
      </c>
      <c r="E61" s="121" t="s">
        <v>163</v>
      </c>
      <c r="F61" s="126">
        <v>8</v>
      </c>
      <c r="G61" s="119"/>
      <c r="H61" s="61"/>
      <c r="I61" s="26"/>
      <c r="J61" s="27"/>
      <c r="K61" s="27"/>
      <c r="L61" s="25"/>
      <c r="M61" s="25"/>
      <c r="N61" s="26"/>
      <c r="O61" s="27"/>
      <c r="P61" s="28"/>
      <c r="Q61" s="29"/>
    </row>
    <row r="62" spans="1:17" x14ac:dyDescent="0.2">
      <c r="A62" s="341">
        <v>44</v>
      </c>
      <c r="B62" s="121"/>
      <c r="C62" s="120" t="s">
        <v>162</v>
      </c>
      <c r="D62" s="123" t="s">
        <v>158</v>
      </c>
      <c r="E62" s="121" t="s">
        <v>163</v>
      </c>
      <c r="F62" s="126">
        <v>2</v>
      </c>
      <c r="G62" s="119"/>
      <c r="H62" s="61"/>
      <c r="I62" s="26"/>
      <c r="J62" s="27"/>
      <c r="K62" s="27"/>
      <c r="L62" s="25"/>
      <c r="M62" s="25"/>
      <c r="N62" s="26"/>
      <c r="O62" s="27"/>
      <c r="P62" s="28"/>
      <c r="Q62" s="29"/>
    </row>
    <row r="63" spans="1:17" ht="33.75" x14ac:dyDescent="0.2">
      <c r="A63" s="341">
        <v>45</v>
      </c>
      <c r="B63" s="121"/>
      <c r="C63" s="120" t="s">
        <v>165</v>
      </c>
      <c r="D63" s="123" t="s">
        <v>199</v>
      </c>
      <c r="E63" s="121" t="s">
        <v>44</v>
      </c>
      <c r="F63" s="126">
        <v>29</v>
      </c>
      <c r="G63" s="119"/>
      <c r="H63" s="61"/>
      <c r="I63" s="26"/>
      <c r="J63" s="27"/>
      <c r="K63" s="27"/>
      <c r="L63" s="25"/>
      <c r="M63" s="25"/>
      <c r="N63" s="26"/>
      <c r="O63" s="27"/>
      <c r="P63" s="28"/>
      <c r="Q63" s="29"/>
    </row>
    <row r="64" spans="1:17" ht="33.75" x14ac:dyDescent="0.2">
      <c r="A64" s="341">
        <v>46</v>
      </c>
      <c r="B64" s="121"/>
      <c r="C64" s="120" t="s">
        <v>165</v>
      </c>
      <c r="D64" s="123" t="s">
        <v>200</v>
      </c>
      <c r="E64" s="121" t="s">
        <v>44</v>
      </c>
      <c r="F64" s="126">
        <v>13</v>
      </c>
      <c r="G64" s="119"/>
      <c r="H64" s="61"/>
      <c r="I64" s="26"/>
      <c r="J64" s="27"/>
      <c r="K64" s="27"/>
      <c r="L64" s="25"/>
      <c r="M64" s="25"/>
      <c r="N64" s="26"/>
      <c r="O64" s="27"/>
      <c r="P64" s="28"/>
      <c r="Q64" s="29"/>
    </row>
    <row r="65" spans="1:17" ht="33.75" x14ac:dyDescent="0.2">
      <c r="A65" s="341">
        <v>47</v>
      </c>
      <c r="B65" s="121"/>
      <c r="C65" s="120" t="s">
        <v>165</v>
      </c>
      <c r="D65" s="123" t="s">
        <v>201</v>
      </c>
      <c r="E65" s="121" t="s">
        <v>44</v>
      </c>
      <c r="F65" s="126">
        <v>15</v>
      </c>
      <c r="G65" s="119"/>
      <c r="H65" s="61"/>
      <c r="I65" s="26"/>
      <c r="J65" s="27"/>
      <c r="K65" s="27"/>
      <c r="L65" s="25"/>
      <c r="M65" s="25"/>
      <c r="N65" s="26"/>
      <c r="O65" s="27"/>
      <c r="P65" s="28"/>
      <c r="Q65" s="29"/>
    </row>
    <row r="66" spans="1:17" x14ac:dyDescent="0.2">
      <c r="A66" s="341">
        <v>48</v>
      </c>
      <c r="B66" s="121"/>
      <c r="C66" s="120" t="s">
        <v>202</v>
      </c>
      <c r="D66" s="123"/>
      <c r="E66" s="121" t="s">
        <v>175</v>
      </c>
      <c r="F66" s="126">
        <v>1</v>
      </c>
      <c r="G66" s="119"/>
      <c r="H66" s="61"/>
      <c r="I66" s="26"/>
      <c r="J66" s="27"/>
      <c r="K66" s="27"/>
      <c r="L66" s="25"/>
      <c r="M66" s="25"/>
      <c r="N66" s="26"/>
      <c r="O66" s="27"/>
      <c r="P66" s="28"/>
      <c r="Q66" s="29"/>
    </row>
    <row r="67" spans="1:17" x14ac:dyDescent="0.2">
      <c r="A67" s="341">
        <v>49</v>
      </c>
      <c r="B67" s="121"/>
      <c r="C67" s="317" t="s">
        <v>171</v>
      </c>
      <c r="D67" s="123" t="s">
        <v>172</v>
      </c>
      <c r="E67" s="121" t="s">
        <v>44</v>
      </c>
      <c r="F67" s="126">
        <v>3</v>
      </c>
      <c r="G67" s="119"/>
      <c r="H67" s="61"/>
      <c r="I67" s="26"/>
      <c r="J67" s="27"/>
      <c r="K67" s="27"/>
      <c r="L67" s="25"/>
      <c r="M67" s="25"/>
      <c r="N67" s="26"/>
      <c r="O67" s="27"/>
      <c r="P67" s="28"/>
      <c r="Q67" s="29"/>
    </row>
    <row r="68" spans="1:17" ht="22.5" x14ac:dyDescent="0.2">
      <c r="A68" s="341">
        <v>50</v>
      </c>
      <c r="B68" s="121"/>
      <c r="C68" s="120" t="s">
        <v>182</v>
      </c>
      <c r="D68" s="123"/>
      <c r="E68" s="121" t="s">
        <v>44</v>
      </c>
      <c r="F68" s="126">
        <v>64</v>
      </c>
      <c r="G68" s="119"/>
      <c r="H68" s="61"/>
      <c r="I68" s="26"/>
      <c r="J68" s="27"/>
      <c r="K68" s="27"/>
      <c r="L68" s="25"/>
      <c r="M68" s="25"/>
      <c r="N68" s="26"/>
      <c r="O68" s="27"/>
      <c r="P68" s="28"/>
      <c r="Q68" s="29"/>
    </row>
    <row r="69" spans="1:17" x14ac:dyDescent="0.2">
      <c r="A69" s="342"/>
      <c r="B69" s="316"/>
      <c r="C69" s="132" t="s">
        <v>203</v>
      </c>
      <c r="D69" s="318"/>
      <c r="E69" s="121"/>
      <c r="F69" s="126"/>
      <c r="G69" s="119"/>
      <c r="H69" s="61"/>
      <c r="I69" s="26"/>
      <c r="J69" s="27"/>
      <c r="K69" s="27"/>
      <c r="L69" s="25"/>
      <c r="M69" s="25"/>
      <c r="N69" s="26"/>
      <c r="O69" s="27"/>
      <c r="P69" s="28"/>
      <c r="Q69" s="29"/>
    </row>
    <row r="70" spans="1:17" x14ac:dyDescent="0.2">
      <c r="A70" s="341">
        <v>51</v>
      </c>
      <c r="B70" s="121"/>
      <c r="C70" s="120" t="s">
        <v>204</v>
      </c>
      <c r="D70" s="123" t="s">
        <v>172</v>
      </c>
      <c r="E70" s="121" t="s">
        <v>44</v>
      </c>
      <c r="F70" s="126">
        <v>17</v>
      </c>
      <c r="G70" s="119"/>
      <c r="H70" s="61"/>
      <c r="I70" s="26"/>
      <c r="J70" s="27"/>
      <c r="K70" s="27"/>
      <c r="L70" s="25"/>
      <c r="M70" s="25"/>
      <c r="N70" s="26"/>
      <c r="O70" s="27"/>
      <c r="P70" s="28"/>
      <c r="Q70" s="29"/>
    </row>
    <row r="71" spans="1:17" x14ac:dyDescent="0.2">
      <c r="A71" s="341">
        <v>52</v>
      </c>
      <c r="B71" s="121"/>
      <c r="C71" s="317" t="s">
        <v>205</v>
      </c>
      <c r="D71" s="123" t="s">
        <v>172</v>
      </c>
      <c r="E71" s="121" t="s">
        <v>163</v>
      </c>
      <c r="F71" s="126">
        <v>1</v>
      </c>
      <c r="G71" s="119"/>
      <c r="H71" s="61"/>
      <c r="I71" s="26"/>
      <c r="J71" s="27"/>
      <c r="K71" s="27"/>
      <c r="L71" s="25"/>
      <c r="M71" s="25"/>
      <c r="N71" s="26"/>
      <c r="O71" s="27"/>
      <c r="P71" s="28"/>
      <c r="Q71" s="29"/>
    </row>
    <row r="72" spans="1:17" x14ac:dyDescent="0.2">
      <c r="A72" s="341">
        <v>53</v>
      </c>
      <c r="B72" s="121"/>
      <c r="C72" s="120" t="s">
        <v>202</v>
      </c>
      <c r="D72" s="123"/>
      <c r="E72" s="121" t="s">
        <v>175</v>
      </c>
      <c r="F72" s="126">
        <v>1</v>
      </c>
      <c r="G72" s="119"/>
      <c r="H72" s="61"/>
      <c r="I72" s="26"/>
      <c r="J72" s="27"/>
      <c r="K72" s="27"/>
      <c r="L72" s="25"/>
      <c r="M72" s="25"/>
      <c r="N72" s="26"/>
      <c r="O72" s="27"/>
      <c r="P72" s="28"/>
      <c r="Q72" s="29"/>
    </row>
    <row r="73" spans="1:17" x14ac:dyDescent="0.2">
      <c r="A73" s="341">
        <v>54</v>
      </c>
      <c r="B73" s="121"/>
      <c r="C73" s="120" t="s">
        <v>207</v>
      </c>
      <c r="D73" s="123" t="s">
        <v>172</v>
      </c>
      <c r="E73" s="121" t="s">
        <v>163</v>
      </c>
      <c r="F73" s="126">
        <v>1</v>
      </c>
      <c r="G73" s="119"/>
      <c r="H73" s="61"/>
      <c r="I73" s="26"/>
      <c r="J73" s="27"/>
      <c r="K73" s="27"/>
      <c r="L73" s="25"/>
      <c r="M73" s="25"/>
      <c r="N73" s="26"/>
      <c r="O73" s="27"/>
      <c r="P73" s="28"/>
      <c r="Q73" s="29"/>
    </row>
    <row r="74" spans="1:17" x14ac:dyDescent="0.2">
      <c r="A74" s="341"/>
      <c r="B74" s="121"/>
      <c r="C74" s="132" t="s">
        <v>208</v>
      </c>
      <c r="D74" s="123"/>
      <c r="E74" s="121"/>
      <c r="F74" s="126"/>
      <c r="G74" s="119"/>
      <c r="H74" s="61"/>
      <c r="I74" s="26"/>
      <c r="J74" s="27"/>
      <c r="K74" s="27"/>
      <c r="L74" s="25"/>
      <c r="M74" s="25"/>
      <c r="N74" s="26"/>
      <c r="O74" s="27"/>
      <c r="P74" s="28"/>
      <c r="Q74" s="29"/>
    </row>
    <row r="75" spans="1:17" x14ac:dyDescent="0.2">
      <c r="A75" s="341">
        <v>55</v>
      </c>
      <c r="B75" s="121"/>
      <c r="C75" s="120" t="s">
        <v>204</v>
      </c>
      <c r="D75" s="123" t="s">
        <v>209</v>
      </c>
      <c r="E75" s="121" t="s">
        <v>44</v>
      </c>
      <c r="F75" s="126">
        <v>2</v>
      </c>
      <c r="G75" s="119"/>
      <c r="H75" s="61"/>
      <c r="I75" s="26"/>
      <c r="J75" s="27"/>
      <c r="K75" s="27"/>
      <c r="L75" s="25"/>
      <c r="M75" s="25"/>
      <c r="N75" s="26"/>
      <c r="O75" s="27"/>
      <c r="P75" s="28"/>
      <c r="Q75" s="29"/>
    </row>
    <row r="76" spans="1:17" x14ac:dyDescent="0.2">
      <c r="A76" s="341">
        <v>56</v>
      </c>
      <c r="B76" s="121"/>
      <c r="C76" s="120" t="s">
        <v>204</v>
      </c>
      <c r="D76" s="123" t="s">
        <v>172</v>
      </c>
      <c r="E76" s="121" t="s">
        <v>44</v>
      </c>
      <c r="F76" s="126">
        <v>2</v>
      </c>
      <c r="G76" s="119"/>
      <c r="H76" s="61"/>
      <c r="I76" s="26"/>
      <c r="J76" s="27"/>
      <c r="K76" s="27"/>
      <c r="L76" s="25"/>
      <c r="M76" s="25"/>
      <c r="N76" s="26"/>
      <c r="O76" s="27"/>
      <c r="P76" s="28"/>
      <c r="Q76" s="29"/>
    </row>
    <row r="77" spans="1:17" x14ac:dyDescent="0.2">
      <c r="A77" s="341">
        <v>57</v>
      </c>
      <c r="B77" s="121"/>
      <c r="C77" s="120" t="s">
        <v>204</v>
      </c>
      <c r="D77" s="123" t="s">
        <v>210</v>
      </c>
      <c r="E77" s="121" t="s">
        <v>44</v>
      </c>
      <c r="F77" s="126">
        <v>52</v>
      </c>
      <c r="G77" s="119"/>
      <c r="H77" s="61"/>
      <c r="I77" s="26"/>
      <c r="J77" s="27"/>
      <c r="K77" s="27"/>
      <c r="L77" s="25"/>
      <c r="M77" s="25"/>
      <c r="N77" s="26"/>
      <c r="O77" s="27"/>
      <c r="P77" s="28"/>
      <c r="Q77" s="29"/>
    </row>
    <row r="78" spans="1:17" x14ac:dyDescent="0.2">
      <c r="A78" s="341">
        <v>58</v>
      </c>
      <c r="B78" s="121"/>
      <c r="C78" s="120" t="s">
        <v>204</v>
      </c>
      <c r="D78" s="123" t="s">
        <v>211</v>
      </c>
      <c r="E78" s="121" t="s">
        <v>44</v>
      </c>
      <c r="F78" s="126">
        <v>52</v>
      </c>
      <c r="G78" s="119"/>
      <c r="H78" s="61"/>
      <c r="I78" s="26"/>
      <c r="J78" s="27"/>
      <c r="K78" s="27"/>
      <c r="L78" s="25"/>
      <c r="M78" s="25"/>
      <c r="N78" s="26"/>
      <c r="O78" s="27"/>
      <c r="P78" s="28"/>
      <c r="Q78" s="29"/>
    </row>
    <row r="79" spans="1:17" x14ac:dyDescent="0.2">
      <c r="A79" s="341">
        <v>59</v>
      </c>
      <c r="B79" s="121"/>
      <c r="C79" s="120" t="s">
        <v>152</v>
      </c>
      <c r="D79" s="123" t="s">
        <v>159</v>
      </c>
      <c r="E79" s="121" t="s">
        <v>44</v>
      </c>
      <c r="F79" s="126">
        <v>6</v>
      </c>
      <c r="G79" s="119"/>
      <c r="H79" s="61"/>
      <c r="I79" s="26"/>
      <c r="J79" s="27"/>
      <c r="K79" s="27"/>
      <c r="L79" s="25"/>
      <c r="M79" s="25"/>
      <c r="N79" s="26"/>
      <c r="O79" s="27"/>
      <c r="P79" s="28"/>
      <c r="Q79" s="29"/>
    </row>
    <row r="80" spans="1:17" ht="22.5" x14ac:dyDescent="0.2">
      <c r="A80" s="341">
        <v>60</v>
      </c>
      <c r="B80" s="121"/>
      <c r="C80" s="120" t="s">
        <v>212</v>
      </c>
      <c r="D80" s="123" t="s">
        <v>206</v>
      </c>
      <c r="E80" s="121" t="s">
        <v>175</v>
      </c>
      <c r="F80" s="126">
        <v>1</v>
      </c>
      <c r="G80" s="119"/>
      <c r="H80" s="61"/>
      <c r="I80" s="26"/>
      <c r="J80" s="27"/>
      <c r="K80" s="27"/>
      <c r="L80" s="25"/>
      <c r="M80" s="25"/>
      <c r="N80" s="26"/>
      <c r="O80" s="27"/>
      <c r="P80" s="28"/>
      <c r="Q80" s="29"/>
    </row>
    <row r="81" spans="1:17" ht="22.5" x14ac:dyDescent="0.2">
      <c r="A81" s="341">
        <v>61</v>
      </c>
      <c r="B81" s="121"/>
      <c r="C81" s="317" t="s">
        <v>213</v>
      </c>
      <c r="D81" s="123" t="s">
        <v>214</v>
      </c>
      <c r="E81" s="121" t="s">
        <v>44</v>
      </c>
      <c r="F81" s="126">
        <v>19</v>
      </c>
      <c r="G81" s="119"/>
      <c r="H81" s="61"/>
      <c r="I81" s="26"/>
      <c r="J81" s="27"/>
      <c r="K81" s="27"/>
      <c r="L81" s="25"/>
      <c r="M81" s="25"/>
      <c r="N81" s="26"/>
      <c r="O81" s="27"/>
      <c r="P81" s="28"/>
      <c r="Q81" s="29"/>
    </row>
    <row r="82" spans="1:17" ht="22.5" x14ac:dyDescent="0.2">
      <c r="A82" s="341">
        <v>62</v>
      </c>
      <c r="B82" s="121"/>
      <c r="C82" s="317" t="s">
        <v>215</v>
      </c>
      <c r="D82" s="123" t="s">
        <v>216</v>
      </c>
      <c r="E82" s="121" t="s">
        <v>44</v>
      </c>
      <c r="F82" s="126">
        <v>9</v>
      </c>
      <c r="G82" s="119"/>
      <c r="H82" s="61"/>
      <c r="I82" s="26"/>
      <c r="J82" s="27"/>
      <c r="K82" s="27"/>
      <c r="L82" s="25"/>
      <c r="M82" s="25"/>
      <c r="N82" s="26"/>
      <c r="O82" s="27"/>
      <c r="P82" s="28"/>
      <c r="Q82" s="29"/>
    </row>
    <row r="83" spans="1:17" x14ac:dyDescent="0.2">
      <c r="A83" s="341">
        <v>63</v>
      </c>
      <c r="B83" s="121"/>
      <c r="C83" s="120" t="s">
        <v>202</v>
      </c>
      <c r="D83" s="123"/>
      <c r="E83" s="121" t="s">
        <v>175</v>
      </c>
      <c r="F83" s="126">
        <v>1</v>
      </c>
      <c r="G83" s="119"/>
      <c r="H83" s="61"/>
      <c r="I83" s="26"/>
      <c r="J83" s="27"/>
      <c r="K83" s="27"/>
      <c r="L83" s="25"/>
      <c r="M83" s="25"/>
      <c r="N83" s="26"/>
      <c r="O83" s="27"/>
      <c r="P83" s="28"/>
      <c r="Q83" s="29"/>
    </row>
    <row r="84" spans="1:17" x14ac:dyDescent="0.2">
      <c r="A84" s="341">
        <v>64</v>
      </c>
      <c r="B84" s="121"/>
      <c r="C84" s="120" t="s">
        <v>207</v>
      </c>
      <c r="D84" s="123" t="s">
        <v>172</v>
      </c>
      <c r="E84" s="121" t="s">
        <v>163</v>
      </c>
      <c r="F84" s="126">
        <v>1</v>
      </c>
      <c r="G84" s="119"/>
      <c r="H84" s="61"/>
      <c r="I84" s="26"/>
      <c r="J84" s="27"/>
      <c r="K84" s="27"/>
      <c r="L84" s="25"/>
      <c r="M84" s="25"/>
      <c r="N84" s="26"/>
      <c r="O84" s="27"/>
      <c r="P84" s="28"/>
      <c r="Q84" s="29"/>
    </row>
    <row r="85" spans="1:17" ht="21" x14ac:dyDescent="0.2">
      <c r="A85" s="341">
        <v>65</v>
      </c>
      <c r="B85" s="121"/>
      <c r="C85" s="120" t="s">
        <v>619</v>
      </c>
      <c r="D85" s="123" t="s">
        <v>620</v>
      </c>
      <c r="E85" s="121" t="s">
        <v>175</v>
      </c>
      <c r="F85" s="126">
        <v>1</v>
      </c>
      <c r="G85" s="119"/>
      <c r="H85" s="61"/>
      <c r="I85" s="26"/>
      <c r="J85" s="27"/>
      <c r="K85" s="27"/>
      <c r="L85" s="25"/>
      <c r="M85" s="25"/>
      <c r="N85" s="26"/>
      <c r="O85" s="27"/>
      <c r="P85" s="28"/>
      <c r="Q85" s="29"/>
    </row>
    <row r="86" spans="1:17" x14ac:dyDescent="0.2">
      <c r="A86" s="341"/>
      <c r="B86" s="121"/>
      <c r="C86" s="132" t="s">
        <v>727</v>
      </c>
      <c r="D86" s="123"/>
      <c r="E86" s="121"/>
      <c r="F86" s="126"/>
      <c r="G86" s="119"/>
      <c r="H86" s="61"/>
      <c r="I86" s="26"/>
      <c r="J86" s="27"/>
      <c r="K86" s="27"/>
      <c r="L86" s="25"/>
      <c r="M86" s="25"/>
      <c r="N86" s="26"/>
      <c r="O86" s="27"/>
      <c r="P86" s="28"/>
      <c r="Q86" s="29"/>
    </row>
    <row r="87" spans="1:17" ht="22.5" x14ac:dyDescent="0.2">
      <c r="A87" s="341">
        <v>66</v>
      </c>
      <c r="B87" s="121"/>
      <c r="C87" s="120" t="s">
        <v>728</v>
      </c>
      <c r="D87" s="123"/>
      <c r="E87" s="121" t="s">
        <v>45</v>
      </c>
      <c r="F87" s="126">
        <v>1</v>
      </c>
      <c r="G87" s="119"/>
      <c r="H87" s="61"/>
      <c r="I87" s="26"/>
      <c r="J87" s="27"/>
      <c r="K87" s="27"/>
      <c r="L87" s="25"/>
      <c r="M87" s="25"/>
      <c r="N87" s="26"/>
      <c r="O87" s="27"/>
      <c r="P87" s="28"/>
      <c r="Q87" s="29"/>
    </row>
    <row r="88" spans="1:17" x14ac:dyDescent="0.2">
      <c r="A88" s="341">
        <v>67</v>
      </c>
      <c r="B88" s="121"/>
      <c r="C88" s="120" t="s">
        <v>729</v>
      </c>
      <c r="D88" s="123"/>
      <c r="E88" s="121" t="s">
        <v>45</v>
      </c>
      <c r="F88" s="126">
        <v>4</v>
      </c>
      <c r="G88" s="119"/>
      <c r="H88" s="61"/>
      <c r="I88" s="26"/>
      <c r="J88" s="27"/>
      <c r="K88" s="27"/>
      <c r="L88" s="25"/>
      <c r="M88" s="25"/>
      <c r="N88" s="26"/>
      <c r="O88" s="27"/>
      <c r="P88" s="28"/>
      <c r="Q88" s="29"/>
    </row>
    <row r="89" spans="1:17" ht="22.5" x14ac:dyDescent="0.2">
      <c r="A89" s="341">
        <v>68</v>
      </c>
      <c r="B89" s="121"/>
      <c r="C89" s="120" t="s">
        <v>730</v>
      </c>
      <c r="D89" s="123"/>
      <c r="E89" s="121" t="s">
        <v>45</v>
      </c>
      <c r="F89" s="126">
        <v>1</v>
      </c>
      <c r="G89" s="119"/>
      <c r="H89" s="61"/>
      <c r="I89" s="26"/>
      <c r="J89" s="27"/>
      <c r="K89" s="27"/>
      <c r="L89" s="25"/>
      <c r="M89" s="25"/>
      <c r="N89" s="26"/>
      <c r="O89" s="27"/>
      <c r="P89" s="28"/>
      <c r="Q89" s="29"/>
    </row>
    <row r="90" spans="1:17" x14ac:dyDescent="0.2">
      <c r="A90" s="341"/>
      <c r="B90" s="121"/>
      <c r="C90" s="132" t="s">
        <v>217</v>
      </c>
      <c r="D90" s="319"/>
      <c r="E90" s="320"/>
      <c r="F90" s="321"/>
      <c r="G90" s="119"/>
      <c r="H90" s="61"/>
      <c r="I90" s="26"/>
      <c r="J90" s="27"/>
      <c r="K90" s="27"/>
      <c r="L90" s="25"/>
      <c r="M90" s="25"/>
      <c r="N90" s="26"/>
      <c r="O90" s="27"/>
      <c r="P90" s="28"/>
      <c r="Q90" s="29"/>
    </row>
    <row r="91" spans="1:17" ht="15" thickBot="1" x14ac:dyDescent="0.25">
      <c r="A91" s="343">
        <v>69</v>
      </c>
      <c r="B91" s="135"/>
      <c r="C91" s="128" t="s">
        <v>218</v>
      </c>
      <c r="D91" s="322"/>
      <c r="E91" s="135" t="s">
        <v>175</v>
      </c>
      <c r="F91" s="127">
        <v>1</v>
      </c>
      <c r="G91" s="119"/>
      <c r="H91" s="61"/>
      <c r="I91" s="26"/>
      <c r="J91" s="27"/>
      <c r="K91" s="27"/>
      <c r="L91" s="25"/>
      <c r="M91" s="25"/>
      <c r="N91" s="26"/>
      <c r="O91" s="27"/>
      <c r="P91" s="28"/>
      <c r="Q91" s="29"/>
    </row>
    <row r="92" spans="1:17" ht="15" customHeight="1" thickBo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2" t="s">
        <v>130</v>
      </c>
      <c r="M92" s="33">
        <f>ROUND(SUM(M15:M91),2)</f>
        <v>0</v>
      </c>
      <c r="N92" s="33">
        <f>ROUND(SUM(N15:N91),2)</f>
        <v>0</v>
      </c>
      <c r="O92" s="34">
        <f>ROUND(SUM(O15:O91),2)</f>
        <v>0</v>
      </c>
      <c r="P92" s="35">
        <f>ROUND(SUM(P15:P91),2)</f>
        <v>0</v>
      </c>
      <c r="Q92" s="36">
        <f>ROUND(SUM(Q15:Q91),2)</f>
        <v>0</v>
      </c>
    </row>
    <row r="93" spans="1:17" ht="34.9" customHeight="1" x14ac:dyDescent="0.2">
      <c r="A93" s="37"/>
      <c r="B93" s="7"/>
      <c r="C93" s="38"/>
      <c r="D93" s="38"/>
      <c r="E93" s="39"/>
      <c r="F93" s="5"/>
      <c r="G93" s="5"/>
      <c r="H93" s="5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2">
      <c r="A94" s="40"/>
      <c r="B94" s="41"/>
      <c r="C94" s="41" t="s">
        <v>10</v>
      </c>
      <c r="D94" s="41"/>
      <c r="E94" s="42"/>
      <c r="F94" s="43"/>
      <c r="G94" s="44"/>
      <c r="H94" s="42"/>
      <c r="I94" s="45">
        <f>Kopsavilkums!C$43</f>
        <v>0</v>
      </c>
      <c r="J94" s="46" t="str">
        <f>Kopsavilkums!D$43</f>
        <v>datums</v>
      </c>
      <c r="K94" s="46"/>
      <c r="L94" s="41" t="s">
        <v>11</v>
      </c>
      <c r="M94" s="47"/>
      <c r="N94" s="44"/>
      <c r="O94" s="44"/>
      <c r="P94" s="45">
        <f>Kopsavilkums!C$48</f>
        <v>0</v>
      </c>
      <c r="Q94" s="46" t="str">
        <f>Kopsavilkums!D$48</f>
        <v>datums</v>
      </c>
    </row>
    <row r="95" spans="1:17" x14ac:dyDescent="0.2">
      <c r="A95" s="48"/>
      <c r="B95" s="49"/>
      <c r="C95" s="50"/>
      <c r="D95" s="50"/>
      <c r="E95" s="407" t="s">
        <v>12</v>
      </c>
      <c r="F95" s="407"/>
      <c r="G95" s="407"/>
      <c r="H95" s="407"/>
      <c r="I95" s="407"/>
      <c r="J95" s="7"/>
      <c r="K95" s="7"/>
      <c r="L95" s="7"/>
      <c r="M95" s="407" t="s">
        <v>12</v>
      </c>
      <c r="N95" s="407"/>
      <c r="O95" s="407"/>
      <c r="P95" s="407"/>
      <c r="Q95" s="7"/>
    </row>
    <row r="96" spans="1:17" x14ac:dyDescent="0.2">
      <c r="A96" s="37"/>
      <c r="B96" s="7"/>
      <c r="C96" s="38"/>
      <c r="D96" s="38"/>
      <c r="E96" s="5"/>
      <c r="F96" s="5"/>
      <c r="G96" s="5"/>
      <c r="H96" s="5"/>
      <c r="I96" s="7"/>
      <c r="J96" s="7"/>
      <c r="K96" s="7"/>
      <c r="L96" s="7"/>
      <c r="M96" s="7"/>
      <c r="N96" s="7"/>
      <c r="O96" s="7"/>
      <c r="P96" s="7"/>
      <c r="Q96" s="7"/>
    </row>
    <row r="97" spans="1:46" x14ac:dyDescent="0.2">
      <c r="A97" s="51"/>
      <c r="B97" s="46"/>
      <c r="C97" s="52"/>
      <c r="D97" s="52"/>
      <c r="E97" s="52" t="str">
        <f>Kopsavilkums!B$46</f>
        <v>-</v>
      </c>
      <c r="F97" s="5"/>
      <c r="G97" s="5"/>
      <c r="H97" s="5"/>
      <c r="I97" s="7"/>
      <c r="J97" s="7"/>
      <c r="K97" s="7"/>
      <c r="L97" s="7"/>
      <c r="M97" s="52" t="str">
        <f>Kopsavilkums!B$51</f>
        <v>Sert.Nr.</v>
      </c>
      <c r="N97" s="53"/>
      <c r="O97" s="7"/>
      <c r="P97" s="7"/>
      <c r="Q97" s="7"/>
    </row>
    <row r="98" spans="1:46" s="54" customFormat="1" x14ac:dyDescent="0.25">
      <c r="R98" s="175"/>
      <c r="S98" s="175"/>
      <c r="T98" s="175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</row>
    <row r="99" spans="1:46" s="54" customFormat="1" x14ac:dyDescent="0.25">
      <c r="R99" s="175"/>
      <c r="S99" s="175"/>
      <c r="T99" s="175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</row>
    <row r="100" spans="1:46" s="54" customFormat="1" x14ac:dyDescent="0.25">
      <c r="R100" s="175"/>
      <c r="S100" s="175"/>
      <c r="T100" s="175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</row>
    <row r="101" spans="1:46" s="54" customFormat="1" x14ac:dyDescent="0.25">
      <c r="R101" s="175"/>
      <c r="S101" s="175"/>
      <c r="T101" s="175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</row>
    <row r="102" spans="1:46" s="54" customFormat="1" x14ac:dyDescent="0.25">
      <c r="R102" s="175"/>
      <c r="S102" s="175"/>
      <c r="T102" s="175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</row>
    <row r="103" spans="1:46" s="54" customFormat="1" x14ac:dyDescent="0.25">
      <c r="R103" s="175"/>
      <c r="S103" s="175"/>
      <c r="T103" s="175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</row>
    <row r="104" spans="1:46" s="54" customFormat="1" x14ac:dyDescent="0.25">
      <c r="R104" s="175"/>
      <c r="S104" s="175"/>
      <c r="T104" s="175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</row>
    <row r="105" spans="1:46" s="54" customFormat="1" x14ac:dyDescent="0.25">
      <c r="R105" s="175"/>
      <c r="S105" s="175"/>
      <c r="T105" s="175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</row>
    <row r="106" spans="1:46" s="54" customFormat="1" x14ac:dyDescent="0.25">
      <c r="R106" s="175"/>
      <c r="S106" s="175"/>
      <c r="T106" s="175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</row>
    <row r="107" spans="1:46" s="54" customFormat="1" x14ac:dyDescent="0.25">
      <c r="R107" s="175"/>
      <c r="S107" s="175"/>
      <c r="T107" s="175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</row>
    <row r="108" spans="1:46" s="54" customFormat="1" x14ac:dyDescent="0.25">
      <c r="R108" s="175"/>
      <c r="S108" s="175"/>
      <c r="T108" s="175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</row>
    <row r="109" spans="1:46" s="54" customFormat="1" x14ac:dyDescent="0.25">
      <c r="R109" s="175"/>
      <c r="S109" s="175"/>
      <c r="T109" s="175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</row>
    <row r="110" spans="1:46" s="54" customFormat="1" x14ac:dyDescent="0.25">
      <c r="R110" s="175"/>
      <c r="S110" s="175"/>
      <c r="T110" s="175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</row>
    <row r="111" spans="1:46" s="54" customFormat="1" x14ac:dyDescent="0.25">
      <c r="R111" s="175"/>
      <c r="S111" s="175"/>
      <c r="T111" s="175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</row>
    <row r="112" spans="1:46" s="54" customFormat="1" x14ac:dyDescent="0.25">
      <c r="R112" s="175"/>
      <c r="S112" s="175"/>
      <c r="T112" s="175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</row>
    <row r="113" spans="18:46" s="54" customFormat="1" x14ac:dyDescent="0.25">
      <c r="R113" s="175"/>
      <c r="S113" s="175"/>
      <c r="T113" s="175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</row>
    <row r="114" spans="18:46" s="54" customFormat="1" x14ac:dyDescent="0.25">
      <c r="R114" s="175"/>
      <c r="S114" s="175"/>
      <c r="T114" s="175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</row>
    <row r="115" spans="18:46" s="54" customFormat="1" x14ac:dyDescent="0.25">
      <c r="R115" s="175"/>
      <c r="S115" s="175"/>
      <c r="T115" s="175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</row>
    <row r="116" spans="18:46" s="54" customFormat="1" x14ac:dyDescent="0.25">
      <c r="R116" s="175"/>
      <c r="S116" s="175"/>
      <c r="T116" s="175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</row>
    <row r="117" spans="18:46" s="54" customFormat="1" x14ac:dyDescent="0.25">
      <c r="R117" s="175"/>
      <c r="S117" s="175"/>
      <c r="T117" s="175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</row>
    <row r="118" spans="18:46" s="54" customFormat="1" x14ac:dyDescent="0.25">
      <c r="R118" s="175"/>
      <c r="S118" s="175"/>
      <c r="T118" s="175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</row>
    <row r="119" spans="18:46" s="54" customFormat="1" x14ac:dyDescent="0.25">
      <c r="R119" s="175"/>
      <c r="S119" s="175"/>
      <c r="T119" s="175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</row>
    <row r="120" spans="18:46" s="54" customFormat="1" x14ac:dyDescent="0.25">
      <c r="R120" s="175"/>
      <c r="S120" s="175"/>
      <c r="T120" s="175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</row>
    <row r="121" spans="18:46" s="54" customFormat="1" x14ac:dyDescent="0.25">
      <c r="R121" s="175"/>
      <c r="S121" s="175"/>
      <c r="T121" s="175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</row>
    <row r="122" spans="18:46" s="54" customFormat="1" x14ac:dyDescent="0.25">
      <c r="R122" s="175"/>
      <c r="S122" s="175"/>
      <c r="T122" s="175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</row>
    <row r="123" spans="18:46" s="54" customFormat="1" x14ac:dyDescent="0.25">
      <c r="R123" s="175"/>
      <c r="S123" s="175"/>
      <c r="T123" s="175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</row>
    <row r="124" spans="18:46" s="54" customFormat="1" x14ac:dyDescent="0.25">
      <c r="R124" s="175"/>
      <c r="S124" s="175"/>
      <c r="T124" s="175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</row>
    <row r="125" spans="18:46" s="54" customFormat="1" x14ac:dyDescent="0.25">
      <c r="R125" s="175"/>
      <c r="S125" s="175"/>
      <c r="T125" s="175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</row>
    <row r="126" spans="18:46" s="54" customFormat="1" x14ac:dyDescent="0.25">
      <c r="R126" s="175"/>
      <c r="S126" s="175"/>
      <c r="T126" s="175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</row>
    <row r="127" spans="18:46" s="54" customFormat="1" x14ac:dyDescent="0.25">
      <c r="R127" s="175"/>
      <c r="S127" s="175"/>
      <c r="T127" s="175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</row>
    <row r="128" spans="18:46" s="54" customFormat="1" x14ac:dyDescent="0.25">
      <c r="R128" s="175"/>
      <c r="S128" s="175"/>
      <c r="T128" s="175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</row>
    <row r="129" spans="18:46" s="54" customFormat="1" x14ac:dyDescent="0.25">
      <c r="R129" s="175"/>
      <c r="S129" s="175"/>
      <c r="T129" s="175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</row>
    <row r="130" spans="18:46" s="54" customFormat="1" x14ac:dyDescent="0.25">
      <c r="R130" s="175"/>
      <c r="S130" s="175"/>
      <c r="T130" s="175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</row>
    <row r="131" spans="18:46" s="54" customFormat="1" x14ac:dyDescent="0.25">
      <c r="R131" s="175"/>
      <c r="S131" s="175"/>
      <c r="T131" s="175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</row>
    <row r="132" spans="18:46" s="54" customFormat="1" x14ac:dyDescent="0.25">
      <c r="R132" s="175"/>
      <c r="S132" s="175"/>
      <c r="T132" s="175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</row>
    <row r="133" spans="18:46" s="54" customFormat="1" x14ac:dyDescent="0.25">
      <c r="R133" s="175"/>
      <c r="S133" s="175"/>
      <c r="T133" s="175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</row>
    <row r="134" spans="18:46" s="54" customFormat="1" x14ac:dyDescent="0.25">
      <c r="R134" s="175"/>
      <c r="S134" s="175"/>
      <c r="T134" s="175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</row>
    <row r="135" spans="18:46" s="54" customFormat="1" x14ac:dyDescent="0.25">
      <c r="R135" s="175"/>
      <c r="S135" s="175"/>
      <c r="T135" s="175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</row>
    <row r="136" spans="18:46" s="54" customFormat="1" x14ac:dyDescent="0.25">
      <c r="R136" s="175"/>
      <c r="S136" s="175"/>
      <c r="T136" s="175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</row>
    <row r="137" spans="18:46" s="54" customFormat="1" x14ac:dyDescent="0.25">
      <c r="R137" s="175"/>
      <c r="S137" s="175"/>
      <c r="T137" s="175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</row>
    <row r="138" spans="18:46" s="54" customFormat="1" x14ac:dyDescent="0.25">
      <c r="R138" s="175"/>
      <c r="S138" s="175"/>
      <c r="T138" s="175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</row>
    <row r="139" spans="18:46" s="54" customFormat="1" x14ac:dyDescent="0.25">
      <c r="R139" s="175"/>
      <c r="S139" s="175"/>
      <c r="T139" s="175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</row>
    <row r="140" spans="18:46" s="54" customFormat="1" x14ac:dyDescent="0.25">
      <c r="R140" s="175"/>
      <c r="S140" s="175"/>
      <c r="T140" s="175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</row>
    <row r="141" spans="18:46" s="54" customFormat="1" x14ac:dyDescent="0.25">
      <c r="R141" s="175"/>
      <c r="S141" s="175"/>
      <c r="T141" s="175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</row>
    <row r="142" spans="18:46" s="54" customFormat="1" x14ac:dyDescent="0.25">
      <c r="R142" s="175"/>
      <c r="S142" s="175"/>
      <c r="T142" s="175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</row>
    <row r="143" spans="18:46" s="54" customFormat="1" x14ac:dyDescent="0.25">
      <c r="R143" s="175"/>
      <c r="S143" s="175"/>
      <c r="T143" s="175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</row>
    <row r="144" spans="18:46" s="54" customFormat="1" x14ac:dyDescent="0.25">
      <c r="R144" s="175"/>
      <c r="S144" s="175"/>
      <c r="T144" s="175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</row>
    <row r="145" spans="18:46" s="54" customFormat="1" x14ac:dyDescent="0.25">
      <c r="R145" s="175"/>
      <c r="S145" s="175"/>
      <c r="T145" s="175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</row>
    <row r="146" spans="18:46" s="54" customFormat="1" x14ac:dyDescent="0.25">
      <c r="R146" s="175"/>
      <c r="S146" s="175"/>
      <c r="T146" s="175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</row>
    <row r="147" spans="18:46" s="54" customFormat="1" x14ac:dyDescent="0.25">
      <c r="R147" s="175"/>
      <c r="S147" s="175"/>
      <c r="T147" s="175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</row>
    <row r="148" spans="18:46" s="54" customFormat="1" x14ac:dyDescent="0.25">
      <c r="R148" s="175"/>
      <c r="S148" s="175"/>
      <c r="T148" s="175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</row>
    <row r="149" spans="18:46" s="54" customFormat="1" x14ac:dyDescent="0.25">
      <c r="R149" s="175"/>
      <c r="S149" s="175"/>
      <c r="T149" s="175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</row>
    <row r="150" spans="18:46" s="54" customFormat="1" x14ac:dyDescent="0.25">
      <c r="R150" s="175"/>
      <c r="S150" s="175"/>
      <c r="T150" s="175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</row>
    <row r="151" spans="18:46" s="54" customFormat="1" x14ac:dyDescent="0.25">
      <c r="R151" s="175"/>
      <c r="S151" s="175"/>
      <c r="T151" s="175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</row>
    <row r="152" spans="18:46" s="54" customFormat="1" x14ac:dyDescent="0.25">
      <c r="R152" s="175"/>
      <c r="S152" s="175"/>
      <c r="T152" s="175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</row>
    <row r="153" spans="18:46" s="54" customFormat="1" x14ac:dyDescent="0.25">
      <c r="R153" s="175"/>
      <c r="S153" s="175"/>
      <c r="T153" s="175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</row>
    <row r="154" spans="18:46" s="54" customFormat="1" x14ac:dyDescent="0.25">
      <c r="R154" s="175"/>
      <c r="S154" s="175"/>
      <c r="T154" s="175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</row>
    <row r="155" spans="18:46" s="54" customFormat="1" x14ac:dyDescent="0.25">
      <c r="R155" s="175"/>
      <c r="S155" s="175"/>
      <c r="T155" s="175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</row>
    <row r="156" spans="18:46" s="54" customFormat="1" x14ac:dyDescent="0.25">
      <c r="R156" s="175"/>
      <c r="S156" s="175"/>
      <c r="T156" s="175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</row>
    <row r="157" spans="18:46" s="54" customFormat="1" x14ac:dyDescent="0.25">
      <c r="R157" s="175"/>
      <c r="S157" s="175"/>
      <c r="T157" s="175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</row>
    <row r="158" spans="18:46" s="54" customFormat="1" x14ac:dyDescent="0.25">
      <c r="R158" s="175"/>
      <c r="S158" s="175"/>
      <c r="T158" s="175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</row>
    <row r="159" spans="18:46" s="54" customFormat="1" x14ac:dyDescent="0.25">
      <c r="R159" s="175"/>
      <c r="S159" s="175"/>
      <c r="T159" s="175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</row>
    <row r="160" spans="18:46" s="54" customFormat="1" x14ac:dyDescent="0.25">
      <c r="R160" s="175"/>
      <c r="S160" s="175"/>
      <c r="T160" s="175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</row>
    <row r="161" spans="18:46" s="54" customFormat="1" x14ac:dyDescent="0.25">
      <c r="R161" s="175"/>
      <c r="S161" s="175"/>
      <c r="T161" s="175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</row>
    <row r="162" spans="18:46" s="54" customFormat="1" x14ac:dyDescent="0.25">
      <c r="R162" s="175"/>
      <c r="S162" s="175"/>
      <c r="T162" s="175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</row>
    <row r="163" spans="18:46" s="54" customFormat="1" x14ac:dyDescent="0.25">
      <c r="R163" s="175"/>
      <c r="S163" s="175"/>
      <c r="T163" s="175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</row>
    <row r="164" spans="18:46" s="54" customFormat="1" x14ac:dyDescent="0.25">
      <c r="R164" s="175"/>
      <c r="S164" s="175"/>
      <c r="T164" s="175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</row>
    <row r="165" spans="18:46" s="54" customFormat="1" x14ac:dyDescent="0.25">
      <c r="R165" s="175"/>
      <c r="S165" s="175"/>
      <c r="T165" s="175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</row>
    <row r="166" spans="18:46" s="54" customFormat="1" x14ac:dyDescent="0.25">
      <c r="R166" s="175"/>
      <c r="S166" s="175"/>
      <c r="T166" s="175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</row>
    <row r="167" spans="18:46" s="54" customFormat="1" x14ac:dyDescent="0.25">
      <c r="R167" s="175"/>
      <c r="S167" s="175"/>
      <c r="T167" s="175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</row>
    <row r="168" spans="18:46" s="54" customFormat="1" x14ac:dyDescent="0.25">
      <c r="R168" s="175"/>
      <c r="S168" s="175"/>
      <c r="T168" s="175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</row>
    <row r="169" spans="18:46" s="54" customFormat="1" x14ac:dyDescent="0.25">
      <c r="R169" s="175"/>
      <c r="S169" s="175"/>
      <c r="T169" s="175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</row>
    <row r="170" spans="18:46" s="54" customFormat="1" x14ac:dyDescent="0.25">
      <c r="R170" s="175"/>
      <c r="S170" s="175"/>
      <c r="T170" s="175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</row>
    <row r="171" spans="18:46" s="54" customFormat="1" x14ac:dyDescent="0.25">
      <c r="R171" s="175"/>
      <c r="S171" s="175"/>
      <c r="T171" s="175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</row>
    <row r="172" spans="18:46" s="54" customFormat="1" x14ac:dyDescent="0.25">
      <c r="R172" s="175"/>
      <c r="S172" s="175"/>
      <c r="T172" s="175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</row>
    <row r="173" spans="18:46" s="54" customFormat="1" x14ac:dyDescent="0.25">
      <c r="R173" s="175"/>
      <c r="S173" s="175"/>
      <c r="T173" s="175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</row>
    <row r="174" spans="18:46" s="54" customFormat="1" x14ac:dyDescent="0.25">
      <c r="R174" s="175"/>
      <c r="S174" s="175"/>
      <c r="T174" s="175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</row>
    <row r="175" spans="18:46" s="54" customFormat="1" x14ac:dyDescent="0.25">
      <c r="R175" s="175"/>
      <c r="S175" s="175"/>
      <c r="T175" s="175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</row>
    <row r="176" spans="18:46" s="54" customFormat="1" x14ac:dyDescent="0.25">
      <c r="R176" s="175"/>
      <c r="S176" s="175"/>
      <c r="T176" s="175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</row>
    <row r="177" spans="18:46" s="54" customFormat="1" x14ac:dyDescent="0.25">
      <c r="R177" s="175"/>
      <c r="S177" s="175"/>
      <c r="T177" s="175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</row>
    <row r="178" spans="18:46" s="54" customFormat="1" x14ac:dyDescent="0.25">
      <c r="R178" s="175"/>
      <c r="S178" s="175"/>
      <c r="T178" s="175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</row>
    <row r="179" spans="18:46" s="54" customFormat="1" x14ac:dyDescent="0.25">
      <c r="R179" s="175"/>
      <c r="S179" s="175"/>
      <c r="T179" s="175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</row>
    <row r="180" spans="18:46" s="54" customFormat="1" x14ac:dyDescent="0.25">
      <c r="R180" s="175"/>
      <c r="S180" s="175"/>
      <c r="T180" s="175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</row>
    <row r="181" spans="18:46" s="54" customFormat="1" x14ac:dyDescent="0.25">
      <c r="R181" s="175"/>
      <c r="S181" s="175"/>
      <c r="T181" s="175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</row>
    <row r="182" spans="18:46" s="54" customFormat="1" x14ac:dyDescent="0.25">
      <c r="R182" s="175"/>
      <c r="S182" s="175"/>
      <c r="T182" s="175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</row>
    <row r="183" spans="18:46" s="54" customFormat="1" x14ac:dyDescent="0.25">
      <c r="R183" s="175"/>
      <c r="S183" s="175"/>
      <c r="T183" s="175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</row>
    <row r="184" spans="18:46" s="54" customFormat="1" x14ac:dyDescent="0.25">
      <c r="R184" s="175"/>
      <c r="S184" s="175"/>
      <c r="T184" s="175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</row>
    <row r="185" spans="18:46" s="54" customFormat="1" x14ac:dyDescent="0.25">
      <c r="R185" s="175"/>
      <c r="S185" s="175"/>
      <c r="T185" s="175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</row>
    <row r="186" spans="18:46" s="54" customFormat="1" x14ac:dyDescent="0.25">
      <c r="R186" s="175"/>
      <c r="S186" s="175"/>
      <c r="T186" s="175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</row>
    <row r="187" spans="18:46" s="54" customFormat="1" x14ac:dyDescent="0.25">
      <c r="R187" s="175"/>
      <c r="S187" s="175"/>
      <c r="T187" s="175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</row>
    <row r="188" spans="18:46" s="54" customFormat="1" x14ac:dyDescent="0.25">
      <c r="R188" s="175"/>
      <c r="S188" s="175"/>
      <c r="T188" s="175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</row>
    <row r="189" spans="18:46" s="54" customFormat="1" x14ac:dyDescent="0.25">
      <c r="R189" s="175"/>
      <c r="S189" s="175"/>
      <c r="T189" s="175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</row>
    <row r="190" spans="18:46" s="54" customFormat="1" x14ac:dyDescent="0.25">
      <c r="R190" s="175"/>
      <c r="S190" s="175"/>
      <c r="T190" s="175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</row>
    <row r="191" spans="18:46" s="54" customFormat="1" x14ac:dyDescent="0.25">
      <c r="R191" s="175"/>
      <c r="S191" s="175"/>
      <c r="T191" s="175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</row>
    <row r="192" spans="18:46" s="54" customFormat="1" x14ac:dyDescent="0.25">
      <c r="R192" s="175"/>
      <c r="S192" s="175"/>
      <c r="T192" s="175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</row>
    <row r="193" spans="18:46" s="54" customFormat="1" x14ac:dyDescent="0.25">
      <c r="R193" s="175"/>
      <c r="S193" s="175"/>
      <c r="T193" s="175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</row>
    <row r="194" spans="18:46" s="54" customFormat="1" x14ac:dyDescent="0.25">
      <c r="R194" s="175"/>
      <c r="S194" s="175"/>
      <c r="T194" s="175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</row>
    <row r="195" spans="18:46" s="54" customFormat="1" x14ac:dyDescent="0.25">
      <c r="R195" s="175"/>
      <c r="S195" s="175"/>
      <c r="T195" s="175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</row>
    <row r="196" spans="18:46" s="54" customFormat="1" x14ac:dyDescent="0.25">
      <c r="R196" s="175"/>
      <c r="S196" s="175"/>
      <c r="T196" s="175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</row>
    <row r="197" spans="18:46" s="54" customFormat="1" x14ac:dyDescent="0.25">
      <c r="R197" s="175"/>
      <c r="S197" s="175"/>
      <c r="T197" s="175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</row>
    <row r="198" spans="18:46" s="54" customFormat="1" x14ac:dyDescent="0.25">
      <c r="R198" s="175"/>
      <c r="S198" s="175"/>
      <c r="T198" s="175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</row>
    <row r="199" spans="18:46" s="54" customFormat="1" x14ac:dyDescent="0.25">
      <c r="R199" s="175"/>
      <c r="S199" s="175"/>
      <c r="T199" s="175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</row>
    <row r="200" spans="18:46" s="54" customFormat="1" x14ac:dyDescent="0.25">
      <c r="R200" s="175"/>
      <c r="S200" s="175"/>
      <c r="T200" s="175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</row>
    <row r="201" spans="18:46" s="54" customFormat="1" x14ac:dyDescent="0.25">
      <c r="R201" s="175"/>
      <c r="S201" s="175"/>
      <c r="T201" s="175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</row>
    <row r="202" spans="18:46" s="54" customFormat="1" x14ac:dyDescent="0.25">
      <c r="R202" s="175"/>
      <c r="S202" s="175"/>
      <c r="T202" s="175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</row>
    <row r="203" spans="18:46" s="54" customFormat="1" x14ac:dyDescent="0.25">
      <c r="R203" s="175"/>
      <c r="S203" s="175"/>
      <c r="T203" s="175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</row>
    <row r="204" spans="18:46" s="54" customFormat="1" x14ac:dyDescent="0.25">
      <c r="R204" s="175"/>
      <c r="S204" s="175"/>
      <c r="T204" s="175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  <c r="AT204" s="90"/>
    </row>
    <row r="205" spans="18:46" s="54" customFormat="1" x14ac:dyDescent="0.25">
      <c r="R205" s="175"/>
      <c r="S205" s="175"/>
      <c r="T205" s="175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</row>
    <row r="206" spans="18:46" s="54" customFormat="1" x14ac:dyDescent="0.25">
      <c r="R206" s="175"/>
      <c r="S206" s="175"/>
      <c r="T206" s="175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  <c r="AT206" s="90"/>
    </row>
    <row r="207" spans="18:46" s="54" customFormat="1" x14ac:dyDescent="0.25">
      <c r="R207" s="175"/>
      <c r="S207" s="175"/>
      <c r="T207" s="175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</row>
    <row r="208" spans="18:46" s="54" customFormat="1" x14ac:dyDescent="0.25">
      <c r="R208" s="175"/>
      <c r="S208" s="175"/>
      <c r="T208" s="175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  <c r="AT208" s="90"/>
    </row>
    <row r="209" spans="18:46" s="54" customFormat="1" x14ac:dyDescent="0.25">
      <c r="R209" s="175"/>
      <c r="S209" s="175"/>
      <c r="T209" s="175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</row>
    <row r="210" spans="18:46" s="54" customFormat="1" x14ac:dyDescent="0.25">
      <c r="R210" s="175"/>
      <c r="S210" s="175"/>
      <c r="T210" s="175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</row>
    <row r="211" spans="18:46" s="54" customFormat="1" x14ac:dyDescent="0.25">
      <c r="R211" s="175"/>
      <c r="S211" s="175"/>
      <c r="T211" s="175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</row>
    <row r="212" spans="18:46" s="54" customFormat="1" x14ac:dyDescent="0.25">
      <c r="R212" s="175"/>
      <c r="S212" s="175"/>
      <c r="T212" s="175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</row>
    <row r="213" spans="18:46" s="54" customFormat="1" x14ac:dyDescent="0.25">
      <c r="R213" s="175"/>
      <c r="S213" s="175"/>
      <c r="T213" s="175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</row>
    <row r="214" spans="18:46" s="54" customFormat="1" x14ac:dyDescent="0.25">
      <c r="R214" s="175"/>
      <c r="S214" s="175"/>
      <c r="T214" s="175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90"/>
    </row>
    <row r="215" spans="18:46" s="54" customFormat="1" x14ac:dyDescent="0.25">
      <c r="R215" s="175"/>
      <c r="S215" s="175"/>
      <c r="T215" s="175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</row>
    <row r="216" spans="18:46" s="54" customFormat="1" x14ac:dyDescent="0.25">
      <c r="R216" s="175"/>
      <c r="S216" s="175"/>
      <c r="T216" s="175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  <c r="AT216" s="90"/>
    </row>
    <row r="217" spans="18:46" s="54" customFormat="1" x14ac:dyDescent="0.25">
      <c r="R217" s="175"/>
      <c r="S217" s="175"/>
      <c r="T217" s="175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</row>
    <row r="218" spans="18:46" s="54" customFormat="1" x14ac:dyDescent="0.25">
      <c r="R218" s="175"/>
      <c r="S218" s="175"/>
      <c r="T218" s="175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</row>
    <row r="219" spans="18:46" s="54" customFormat="1" x14ac:dyDescent="0.25">
      <c r="R219" s="175"/>
      <c r="S219" s="175"/>
      <c r="T219" s="175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</row>
    <row r="220" spans="18:46" s="54" customFormat="1" x14ac:dyDescent="0.25">
      <c r="R220" s="175"/>
      <c r="S220" s="175"/>
      <c r="T220" s="175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</row>
    <row r="221" spans="18:46" s="54" customFormat="1" x14ac:dyDescent="0.25">
      <c r="R221" s="175"/>
      <c r="S221" s="175"/>
      <c r="T221" s="175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</row>
    <row r="222" spans="18:46" s="54" customFormat="1" x14ac:dyDescent="0.25">
      <c r="R222" s="175"/>
      <c r="S222" s="175"/>
      <c r="T222" s="175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</row>
    <row r="223" spans="18:46" s="54" customFormat="1" x14ac:dyDescent="0.25">
      <c r="R223" s="175"/>
      <c r="S223" s="175"/>
      <c r="T223" s="175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</row>
    <row r="224" spans="18:46" s="54" customFormat="1" x14ac:dyDescent="0.25">
      <c r="R224" s="175"/>
      <c r="S224" s="175"/>
      <c r="T224" s="175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  <c r="AT224" s="90"/>
    </row>
    <row r="225" spans="18:46" s="54" customFormat="1" x14ac:dyDescent="0.25">
      <c r="R225" s="175"/>
      <c r="S225" s="175"/>
      <c r="T225" s="175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</row>
    <row r="226" spans="18:46" s="54" customFormat="1" x14ac:dyDescent="0.25">
      <c r="R226" s="175"/>
      <c r="S226" s="175"/>
      <c r="T226" s="175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</row>
    <row r="227" spans="18:46" s="54" customFormat="1" x14ac:dyDescent="0.25">
      <c r="R227" s="175"/>
      <c r="S227" s="175"/>
      <c r="T227" s="175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</row>
    <row r="228" spans="18:46" s="54" customFormat="1" x14ac:dyDescent="0.25">
      <c r="R228" s="175"/>
      <c r="S228" s="175"/>
      <c r="T228" s="175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  <c r="AT228" s="90"/>
    </row>
    <row r="229" spans="18:46" s="54" customFormat="1" x14ac:dyDescent="0.25">
      <c r="R229" s="175"/>
      <c r="S229" s="175"/>
      <c r="T229" s="175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  <c r="AT229" s="90"/>
    </row>
    <row r="230" spans="18:46" s="54" customFormat="1" x14ac:dyDescent="0.25">
      <c r="R230" s="175"/>
      <c r="S230" s="175"/>
      <c r="T230" s="175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  <c r="AT230" s="90"/>
    </row>
    <row r="231" spans="18:46" s="54" customFormat="1" x14ac:dyDescent="0.25">
      <c r="R231" s="175"/>
      <c r="S231" s="175"/>
      <c r="T231" s="175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</row>
    <row r="232" spans="18:46" s="54" customFormat="1" x14ac:dyDescent="0.25">
      <c r="R232" s="175"/>
      <c r="S232" s="175"/>
      <c r="T232" s="175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</row>
    <row r="233" spans="18:46" s="54" customFormat="1" x14ac:dyDescent="0.25">
      <c r="R233" s="175"/>
      <c r="S233" s="175"/>
      <c r="T233" s="175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</row>
    <row r="234" spans="18:46" s="54" customFormat="1" x14ac:dyDescent="0.25">
      <c r="R234" s="175"/>
      <c r="S234" s="175"/>
      <c r="T234" s="175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  <c r="AT234" s="90"/>
    </row>
    <row r="235" spans="18:46" s="54" customFormat="1" x14ac:dyDescent="0.25">
      <c r="R235" s="175"/>
      <c r="S235" s="175"/>
      <c r="T235" s="175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  <c r="AT235" s="90"/>
    </row>
    <row r="236" spans="18:46" s="54" customFormat="1" x14ac:dyDescent="0.25">
      <c r="R236" s="175"/>
      <c r="S236" s="175"/>
      <c r="T236" s="175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  <c r="AT236" s="90"/>
    </row>
    <row r="237" spans="18:46" s="54" customFormat="1" x14ac:dyDescent="0.25">
      <c r="R237" s="175"/>
      <c r="S237" s="175"/>
      <c r="T237" s="175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</row>
    <row r="238" spans="18:46" s="54" customFormat="1" x14ac:dyDescent="0.25">
      <c r="R238" s="175"/>
      <c r="S238" s="175"/>
      <c r="T238" s="175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  <c r="AT238" s="90"/>
    </row>
    <row r="239" spans="18:46" s="54" customFormat="1" x14ac:dyDescent="0.25">
      <c r="R239" s="175"/>
      <c r="S239" s="175"/>
      <c r="T239" s="175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</row>
    <row r="240" spans="18:46" s="54" customFormat="1" x14ac:dyDescent="0.25">
      <c r="R240" s="175"/>
      <c r="S240" s="175"/>
      <c r="T240" s="175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  <c r="AT240" s="90"/>
    </row>
    <row r="241" spans="18:46" s="54" customFormat="1" x14ac:dyDescent="0.25">
      <c r="R241" s="175"/>
      <c r="S241" s="175"/>
      <c r="T241" s="175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  <c r="AT241" s="90"/>
    </row>
    <row r="242" spans="18:46" s="54" customFormat="1" x14ac:dyDescent="0.25">
      <c r="R242" s="175"/>
      <c r="S242" s="175"/>
      <c r="T242" s="175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</row>
    <row r="243" spans="18:46" s="54" customFormat="1" x14ac:dyDescent="0.25">
      <c r="R243" s="175"/>
      <c r="S243" s="175"/>
      <c r="T243" s="175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</row>
    <row r="244" spans="18:46" s="54" customFormat="1" x14ac:dyDescent="0.25">
      <c r="R244" s="175"/>
      <c r="S244" s="175"/>
      <c r="T244" s="175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  <c r="AT244" s="90"/>
    </row>
    <row r="245" spans="18:46" s="54" customFormat="1" x14ac:dyDescent="0.25">
      <c r="R245" s="175"/>
      <c r="S245" s="175"/>
      <c r="T245" s="175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</row>
    <row r="246" spans="18:46" s="54" customFormat="1" x14ac:dyDescent="0.25">
      <c r="R246" s="175"/>
      <c r="S246" s="175"/>
      <c r="T246" s="175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  <c r="AT246" s="90"/>
    </row>
    <row r="247" spans="18:46" s="54" customFormat="1" x14ac:dyDescent="0.25">
      <c r="R247" s="175"/>
      <c r="S247" s="175"/>
      <c r="T247" s="175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  <c r="AT247" s="90"/>
    </row>
    <row r="248" spans="18:46" s="54" customFormat="1" x14ac:dyDescent="0.25">
      <c r="R248" s="175"/>
      <c r="S248" s="175"/>
      <c r="T248" s="175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</row>
    <row r="249" spans="18:46" s="54" customFormat="1" x14ac:dyDescent="0.25">
      <c r="R249" s="175"/>
      <c r="S249" s="175"/>
      <c r="T249" s="175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</row>
    <row r="250" spans="18:46" s="54" customFormat="1" x14ac:dyDescent="0.25">
      <c r="R250" s="175"/>
      <c r="S250" s="175"/>
      <c r="T250" s="175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</row>
    <row r="251" spans="18:46" s="54" customFormat="1" x14ac:dyDescent="0.25">
      <c r="R251" s="175"/>
      <c r="S251" s="175"/>
      <c r="T251" s="175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</row>
    <row r="252" spans="18:46" s="54" customFormat="1" x14ac:dyDescent="0.25">
      <c r="R252" s="175"/>
      <c r="S252" s="175"/>
      <c r="T252" s="175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</row>
    <row r="253" spans="18:46" s="54" customFormat="1" x14ac:dyDescent="0.25">
      <c r="R253" s="175"/>
      <c r="S253" s="175"/>
      <c r="T253" s="175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</row>
    <row r="254" spans="18:46" s="54" customFormat="1" x14ac:dyDescent="0.25">
      <c r="R254" s="175"/>
      <c r="S254" s="175"/>
      <c r="T254" s="175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</row>
    <row r="255" spans="18:46" s="54" customFormat="1" x14ac:dyDescent="0.25">
      <c r="R255" s="175"/>
      <c r="S255" s="175"/>
      <c r="T255" s="175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</row>
    <row r="256" spans="18:46" s="54" customFormat="1" x14ac:dyDescent="0.25">
      <c r="R256" s="175"/>
      <c r="S256" s="175"/>
      <c r="T256" s="175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</row>
    <row r="257" spans="18:46" s="54" customFormat="1" x14ac:dyDescent="0.25">
      <c r="R257" s="175"/>
      <c r="S257" s="175"/>
      <c r="T257" s="175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</row>
    <row r="258" spans="18:46" s="54" customFormat="1" x14ac:dyDescent="0.25">
      <c r="R258" s="175"/>
      <c r="S258" s="175"/>
      <c r="T258" s="175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</row>
    <row r="259" spans="18:46" s="54" customFormat="1" x14ac:dyDescent="0.25">
      <c r="R259" s="175"/>
      <c r="S259" s="175"/>
      <c r="T259" s="175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</row>
    <row r="260" spans="18:46" s="54" customFormat="1" x14ac:dyDescent="0.25">
      <c r="R260" s="175"/>
      <c r="S260" s="175"/>
      <c r="T260" s="175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</row>
    <row r="261" spans="18:46" s="54" customFormat="1" x14ac:dyDescent="0.25">
      <c r="R261" s="175"/>
      <c r="S261" s="175"/>
      <c r="T261" s="175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</row>
    <row r="262" spans="18:46" s="54" customFormat="1" x14ac:dyDescent="0.25">
      <c r="R262" s="175"/>
      <c r="S262" s="175"/>
      <c r="T262" s="175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</row>
    <row r="263" spans="18:46" s="54" customFormat="1" x14ac:dyDescent="0.25">
      <c r="R263" s="175"/>
      <c r="S263" s="175"/>
      <c r="T263" s="175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</row>
    <row r="264" spans="18:46" s="54" customFormat="1" x14ac:dyDescent="0.25">
      <c r="R264" s="175"/>
      <c r="S264" s="175"/>
      <c r="T264" s="175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</row>
    <row r="265" spans="18:46" s="54" customFormat="1" x14ac:dyDescent="0.25">
      <c r="R265" s="175"/>
      <c r="S265" s="175"/>
      <c r="T265" s="175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</row>
    <row r="266" spans="18:46" s="54" customFormat="1" x14ac:dyDescent="0.25">
      <c r="R266" s="175"/>
      <c r="S266" s="175"/>
      <c r="T266" s="175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</row>
    <row r="267" spans="18:46" s="54" customFormat="1" x14ac:dyDescent="0.25">
      <c r="R267" s="175"/>
      <c r="S267" s="175"/>
      <c r="T267" s="175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</row>
    <row r="268" spans="18:46" s="54" customFormat="1" x14ac:dyDescent="0.25">
      <c r="R268" s="175"/>
      <c r="S268" s="175"/>
      <c r="T268" s="175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  <c r="AT268" s="90"/>
    </row>
    <row r="269" spans="18:46" s="54" customFormat="1" x14ac:dyDescent="0.25">
      <c r="R269" s="175"/>
      <c r="S269" s="175"/>
      <c r="T269" s="175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  <c r="AT269" s="90"/>
    </row>
    <row r="270" spans="18:46" s="54" customFormat="1" x14ac:dyDescent="0.25">
      <c r="R270" s="175"/>
      <c r="S270" s="175"/>
      <c r="T270" s="175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</row>
    <row r="271" spans="18:46" s="54" customFormat="1" x14ac:dyDescent="0.25">
      <c r="R271" s="175"/>
      <c r="S271" s="175"/>
      <c r="T271" s="175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</row>
    <row r="272" spans="18:46" s="54" customFormat="1" x14ac:dyDescent="0.25">
      <c r="R272" s="175"/>
      <c r="S272" s="175"/>
      <c r="T272" s="175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</row>
    <row r="273" spans="18:46" s="54" customFormat="1" x14ac:dyDescent="0.25">
      <c r="R273" s="175"/>
      <c r="S273" s="175"/>
      <c r="T273" s="175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</row>
    <row r="274" spans="18:46" s="54" customFormat="1" x14ac:dyDescent="0.25">
      <c r="R274" s="175"/>
      <c r="S274" s="175"/>
      <c r="T274" s="175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</row>
    <row r="275" spans="18:46" s="54" customFormat="1" x14ac:dyDescent="0.25">
      <c r="R275" s="175"/>
      <c r="S275" s="175"/>
      <c r="T275" s="175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</row>
    <row r="276" spans="18:46" s="54" customFormat="1" x14ac:dyDescent="0.25">
      <c r="R276" s="175"/>
      <c r="S276" s="175"/>
      <c r="T276" s="175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</row>
    <row r="277" spans="18:46" s="54" customFormat="1" x14ac:dyDescent="0.25">
      <c r="R277" s="175"/>
      <c r="S277" s="175"/>
      <c r="T277" s="175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</row>
    <row r="278" spans="18:46" s="54" customFormat="1" x14ac:dyDescent="0.25">
      <c r="R278" s="175"/>
      <c r="S278" s="175"/>
      <c r="T278" s="175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</row>
    <row r="279" spans="18:46" s="54" customFormat="1" x14ac:dyDescent="0.25">
      <c r="R279" s="175"/>
      <c r="S279" s="175"/>
      <c r="T279" s="175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</row>
    <row r="280" spans="18:46" s="54" customFormat="1" x14ac:dyDescent="0.25">
      <c r="R280" s="175"/>
      <c r="S280" s="175"/>
      <c r="T280" s="175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</row>
    <row r="281" spans="18:46" s="54" customFormat="1" x14ac:dyDescent="0.25">
      <c r="R281" s="175"/>
      <c r="S281" s="175"/>
      <c r="T281" s="175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</row>
    <row r="282" spans="18:46" s="54" customFormat="1" x14ac:dyDescent="0.25">
      <c r="R282" s="175"/>
      <c r="S282" s="175"/>
      <c r="T282" s="175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</row>
    <row r="283" spans="18:46" s="54" customFormat="1" x14ac:dyDescent="0.25">
      <c r="R283" s="175"/>
      <c r="S283" s="175"/>
      <c r="T283" s="175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</row>
    <row r="284" spans="18:46" s="54" customFormat="1" x14ac:dyDescent="0.25">
      <c r="R284" s="175"/>
      <c r="S284" s="175"/>
      <c r="T284" s="175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</row>
    <row r="285" spans="18:46" s="54" customFormat="1" x14ac:dyDescent="0.25">
      <c r="R285" s="175"/>
      <c r="S285" s="175"/>
      <c r="T285" s="175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</row>
    <row r="286" spans="18:46" s="54" customFormat="1" x14ac:dyDescent="0.25">
      <c r="R286" s="175"/>
      <c r="S286" s="175"/>
      <c r="T286" s="175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</row>
    <row r="287" spans="18:46" s="54" customFormat="1" x14ac:dyDescent="0.25">
      <c r="R287" s="175"/>
      <c r="S287" s="175"/>
      <c r="T287" s="175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</row>
    <row r="288" spans="18:46" s="54" customFormat="1" x14ac:dyDescent="0.25">
      <c r="R288" s="175"/>
      <c r="S288" s="175"/>
      <c r="T288" s="175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</row>
    <row r="289" spans="18:46" s="54" customFormat="1" x14ac:dyDescent="0.25">
      <c r="R289" s="175"/>
      <c r="S289" s="175"/>
      <c r="T289" s="175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</row>
    <row r="290" spans="18:46" s="54" customFormat="1" x14ac:dyDescent="0.25">
      <c r="R290" s="175"/>
      <c r="S290" s="175"/>
      <c r="T290" s="175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  <c r="AT290" s="90"/>
    </row>
    <row r="291" spans="18:46" s="54" customFormat="1" x14ac:dyDescent="0.25">
      <c r="R291" s="175"/>
      <c r="S291" s="175"/>
      <c r="T291" s="175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  <c r="AT291" s="90"/>
    </row>
    <row r="292" spans="18:46" s="54" customFormat="1" x14ac:dyDescent="0.25">
      <c r="R292" s="175"/>
      <c r="S292" s="175"/>
      <c r="T292" s="175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</row>
    <row r="293" spans="18:46" s="54" customFormat="1" x14ac:dyDescent="0.25">
      <c r="R293" s="175"/>
      <c r="S293" s="175"/>
      <c r="T293" s="175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</row>
    <row r="294" spans="18:46" s="54" customFormat="1" x14ac:dyDescent="0.25">
      <c r="R294" s="175"/>
      <c r="S294" s="175"/>
      <c r="T294" s="175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</row>
    <row r="295" spans="18:46" s="54" customFormat="1" x14ac:dyDescent="0.25">
      <c r="R295" s="175"/>
      <c r="S295" s="175"/>
      <c r="T295" s="175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</row>
    <row r="296" spans="18:46" s="54" customFormat="1" x14ac:dyDescent="0.25">
      <c r="R296" s="175"/>
      <c r="S296" s="175"/>
      <c r="T296" s="175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</row>
    <row r="297" spans="18:46" s="54" customFormat="1" x14ac:dyDescent="0.25">
      <c r="R297" s="175"/>
      <c r="S297" s="175"/>
      <c r="T297" s="175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</row>
    <row r="298" spans="18:46" s="54" customFormat="1" x14ac:dyDescent="0.25">
      <c r="R298" s="175"/>
      <c r="S298" s="175"/>
      <c r="T298" s="175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</row>
    <row r="299" spans="18:46" s="54" customFormat="1" x14ac:dyDescent="0.25">
      <c r="R299" s="175"/>
      <c r="S299" s="175"/>
      <c r="T299" s="175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</row>
    <row r="300" spans="18:46" s="54" customFormat="1" x14ac:dyDescent="0.25">
      <c r="R300" s="175"/>
      <c r="S300" s="175"/>
      <c r="T300" s="175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</row>
    <row r="301" spans="18:46" s="54" customFormat="1" x14ac:dyDescent="0.25">
      <c r="R301" s="175"/>
      <c r="S301" s="175"/>
      <c r="T301" s="175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</row>
    <row r="302" spans="18:46" s="54" customFormat="1" x14ac:dyDescent="0.25">
      <c r="R302" s="175"/>
      <c r="S302" s="175"/>
      <c r="T302" s="175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</row>
    <row r="303" spans="18:46" s="54" customFormat="1" x14ac:dyDescent="0.25">
      <c r="R303" s="175"/>
      <c r="S303" s="175"/>
      <c r="T303" s="175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</row>
    <row r="304" spans="18:46" s="54" customFormat="1" x14ac:dyDescent="0.25">
      <c r="R304" s="175"/>
      <c r="S304" s="175"/>
      <c r="T304" s="175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</row>
    <row r="305" spans="18:46" s="54" customFormat="1" x14ac:dyDescent="0.25">
      <c r="R305" s="175"/>
      <c r="S305" s="175"/>
      <c r="T305" s="175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</row>
    <row r="306" spans="18:46" s="54" customFormat="1" x14ac:dyDescent="0.25">
      <c r="R306" s="175"/>
      <c r="S306" s="175"/>
      <c r="T306" s="175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</row>
    <row r="307" spans="18:46" s="54" customFormat="1" x14ac:dyDescent="0.25">
      <c r="R307" s="175"/>
      <c r="S307" s="175"/>
      <c r="T307" s="175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</row>
    <row r="308" spans="18:46" s="54" customFormat="1" x14ac:dyDescent="0.25">
      <c r="R308" s="175"/>
      <c r="S308" s="175"/>
      <c r="T308" s="175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</row>
    <row r="309" spans="18:46" s="54" customFormat="1" x14ac:dyDescent="0.25">
      <c r="R309" s="175"/>
      <c r="S309" s="175"/>
      <c r="T309" s="175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</row>
    <row r="310" spans="18:46" s="54" customFormat="1" x14ac:dyDescent="0.25">
      <c r="R310" s="175"/>
      <c r="S310" s="175"/>
      <c r="T310" s="175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</row>
    <row r="311" spans="18:46" s="54" customFormat="1" x14ac:dyDescent="0.25">
      <c r="R311" s="175"/>
      <c r="S311" s="175"/>
      <c r="T311" s="175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</row>
    <row r="312" spans="18:46" s="54" customFormat="1" x14ac:dyDescent="0.25">
      <c r="R312" s="175"/>
      <c r="S312" s="175"/>
      <c r="T312" s="175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  <c r="AT312" s="90"/>
    </row>
    <row r="313" spans="18:46" s="54" customFormat="1" x14ac:dyDescent="0.25">
      <c r="R313" s="175"/>
      <c r="S313" s="175"/>
      <c r="T313" s="175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  <c r="AT313" s="90"/>
    </row>
    <row r="314" spans="18:46" s="54" customFormat="1" x14ac:dyDescent="0.25">
      <c r="R314" s="175"/>
      <c r="S314" s="175"/>
      <c r="T314" s="175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</row>
    <row r="315" spans="18:46" s="54" customFormat="1" x14ac:dyDescent="0.25">
      <c r="R315" s="175"/>
      <c r="S315" s="175"/>
      <c r="T315" s="175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</row>
    <row r="316" spans="18:46" s="54" customFormat="1" x14ac:dyDescent="0.25">
      <c r="R316" s="175"/>
      <c r="S316" s="175"/>
      <c r="T316" s="175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</row>
    <row r="317" spans="18:46" s="54" customFormat="1" x14ac:dyDescent="0.25">
      <c r="R317" s="175"/>
      <c r="S317" s="175"/>
      <c r="T317" s="175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</row>
    <row r="318" spans="18:46" s="54" customFormat="1" x14ac:dyDescent="0.25">
      <c r="R318" s="175"/>
      <c r="S318" s="175"/>
      <c r="T318" s="175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</row>
    <row r="319" spans="18:46" s="54" customFormat="1" x14ac:dyDescent="0.25">
      <c r="R319" s="175"/>
      <c r="S319" s="175"/>
      <c r="T319" s="175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</row>
    <row r="320" spans="18:46" s="54" customFormat="1" x14ac:dyDescent="0.25">
      <c r="R320" s="175"/>
      <c r="S320" s="175"/>
      <c r="T320" s="175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  <c r="AT320" s="90"/>
    </row>
    <row r="321" spans="18:46" s="54" customFormat="1" x14ac:dyDescent="0.25">
      <c r="R321" s="175"/>
      <c r="S321" s="175"/>
      <c r="T321" s="175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  <c r="AT321" s="90"/>
    </row>
    <row r="322" spans="18:46" s="54" customFormat="1" x14ac:dyDescent="0.25">
      <c r="R322" s="175"/>
      <c r="S322" s="175"/>
      <c r="T322" s="175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  <c r="AT322" s="90"/>
    </row>
    <row r="323" spans="18:46" s="54" customFormat="1" x14ac:dyDescent="0.25">
      <c r="R323" s="175"/>
      <c r="S323" s="175"/>
      <c r="T323" s="175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  <c r="AT323" s="90"/>
    </row>
    <row r="324" spans="18:46" s="54" customFormat="1" x14ac:dyDescent="0.25">
      <c r="R324" s="175"/>
      <c r="S324" s="175"/>
      <c r="T324" s="175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  <c r="AT324" s="90"/>
    </row>
    <row r="325" spans="18:46" s="54" customFormat="1" x14ac:dyDescent="0.25">
      <c r="R325" s="175"/>
      <c r="S325" s="175"/>
      <c r="T325" s="175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  <c r="AT325" s="90"/>
    </row>
    <row r="326" spans="18:46" s="54" customFormat="1" x14ac:dyDescent="0.25">
      <c r="R326" s="175"/>
      <c r="S326" s="175"/>
      <c r="T326" s="175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  <c r="AT326" s="90"/>
    </row>
    <row r="327" spans="18:46" s="54" customFormat="1" x14ac:dyDescent="0.25">
      <c r="R327" s="175"/>
      <c r="S327" s="175"/>
      <c r="T327" s="175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  <c r="AT327" s="90"/>
    </row>
    <row r="328" spans="18:46" s="54" customFormat="1" x14ac:dyDescent="0.25">
      <c r="R328" s="175"/>
      <c r="S328" s="175"/>
      <c r="T328" s="175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  <c r="AT328" s="90"/>
    </row>
    <row r="329" spans="18:46" s="54" customFormat="1" x14ac:dyDescent="0.25">
      <c r="R329" s="175"/>
      <c r="S329" s="175"/>
      <c r="T329" s="175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  <c r="AT329" s="90"/>
    </row>
    <row r="330" spans="18:46" s="54" customFormat="1" x14ac:dyDescent="0.25">
      <c r="R330" s="175"/>
      <c r="S330" s="175"/>
      <c r="T330" s="175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  <c r="AT330" s="90"/>
    </row>
    <row r="331" spans="18:46" s="54" customFormat="1" x14ac:dyDescent="0.25">
      <c r="R331" s="175"/>
      <c r="S331" s="175"/>
      <c r="T331" s="175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  <c r="AT331" s="90"/>
    </row>
    <row r="332" spans="18:46" s="54" customFormat="1" x14ac:dyDescent="0.25">
      <c r="R332" s="175"/>
      <c r="S332" s="175"/>
      <c r="T332" s="175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  <c r="AT332" s="90"/>
    </row>
    <row r="333" spans="18:46" s="54" customFormat="1" x14ac:dyDescent="0.25">
      <c r="R333" s="175"/>
      <c r="S333" s="175"/>
      <c r="T333" s="175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  <c r="AT333" s="90"/>
    </row>
    <row r="334" spans="18:46" s="54" customFormat="1" x14ac:dyDescent="0.25">
      <c r="R334" s="175"/>
      <c r="S334" s="175"/>
      <c r="T334" s="175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  <c r="AT334" s="90"/>
    </row>
    <row r="335" spans="18:46" s="54" customFormat="1" x14ac:dyDescent="0.25">
      <c r="R335" s="175"/>
      <c r="S335" s="175"/>
      <c r="T335" s="175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  <c r="AT335" s="90"/>
    </row>
    <row r="336" spans="18:46" s="54" customFormat="1" x14ac:dyDescent="0.25">
      <c r="R336" s="175"/>
      <c r="S336" s="175"/>
      <c r="T336" s="175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  <c r="AT336" s="90"/>
    </row>
    <row r="337" spans="18:46" s="54" customFormat="1" x14ac:dyDescent="0.25">
      <c r="R337" s="175"/>
      <c r="S337" s="175"/>
      <c r="T337" s="175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  <c r="AT337" s="90"/>
    </row>
    <row r="338" spans="18:46" s="54" customFormat="1" x14ac:dyDescent="0.25">
      <c r="R338" s="175"/>
      <c r="S338" s="175"/>
      <c r="T338" s="175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  <c r="AT338" s="90"/>
    </row>
    <row r="339" spans="18:46" s="54" customFormat="1" x14ac:dyDescent="0.25">
      <c r="R339" s="175"/>
      <c r="S339" s="175"/>
      <c r="T339" s="175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  <c r="AT339" s="90"/>
    </row>
    <row r="340" spans="18:46" s="54" customFormat="1" x14ac:dyDescent="0.25">
      <c r="R340" s="175"/>
      <c r="S340" s="175"/>
      <c r="T340" s="175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  <c r="AT340" s="90"/>
    </row>
    <row r="341" spans="18:46" s="54" customFormat="1" x14ac:dyDescent="0.25">
      <c r="R341" s="175"/>
      <c r="S341" s="175"/>
      <c r="T341" s="175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  <c r="AT341" s="90"/>
    </row>
    <row r="342" spans="18:46" s="54" customFormat="1" x14ac:dyDescent="0.25">
      <c r="R342" s="175"/>
      <c r="S342" s="175"/>
      <c r="T342" s="175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  <c r="AT342" s="90"/>
    </row>
    <row r="343" spans="18:46" s="54" customFormat="1" x14ac:dyDescent="0.25">
      <c r="R343" s="175"/>
      <c r="S343" s="175"/>
      <c r="T343" s="175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  <c r="AT343" s="90"/>
    </row>
    <row r="344" spans="18:46" s="54" customFormat="1" x14ac:dyDescent="0.25">
      <c r="R344" s="175"/>
      <c r="S344" s="175"/>
      <c r="T344" s="175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  <c r="AT344" s="90"/>
    </row>
    <row r="345" spans="18:46" s="54" customFormat="1" x14ac:dyDescent="0.25">
      <c r="R345" s="175"/>
      <c r="S345" s="175"/>
      <c r="T345" s="175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  <c r="AT345" s="90"/>
    </row>
    <row r="346" spans="18:46" s="54" customFormat="1" x14ac:dyDescent="0.25">
      <c r="R346" s="175"/>
      <c r="S346" s="175"/>
      <c r="T346" s="175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  <c r="AT346" s="90"/>
    </row>
    <row r="347" spans="18:46" s="54" customFormat="1" x14ac:dyDescent="0.25">
      <c r="R347" s="175"/>
      <c r="S347" s="175"/>
      <c r="T347" s="175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  <c r="AT347" s="90"/>
    </row>
    <row r="348" spans="18:46" s="54" customFormat="1" x14ac:dyDescent="0.25">
      <c r="R348" s="175"/>
      <c r="S348" s="175"/>
      <c r="T348" s="175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  <c r="AT348" s="90"/>
    </row>
    <row r="349" spans="18:46" s="54" customFormat="1" x14ac:dyDescent="0.25">
      <c r="R349" s="175"/>
      <c r="S349" s="175"/>
      <c r="T349" s="175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  <c r="AT349" s="90"/>
    </row>
    <row r="350" spans="18:46" s="54" customFormat="1" x14ac:dyDescent="0.25">
      <c r="R350" s="175"/>
      <c r="S350" s="175"/>
      <c r="T350" s="175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  <c r="AT350" s="90"/>
    </row>
    <row r="351" spans="18:46" s="54" customFormat="1" x14ac:dyDescent="0.25">
      <c r="R351" s="175"/>
      <c r="S351" s="175"/>
      <c r="T351" s="175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  <c r="AT351" s="90"/>
    </row>
    <row r="352" spans="18:46" s="54" customFormat="1" x14ac:dyDescent="0.25">
      <c r="R352" s="175"/>
      <c r="S352" s="175"/>
      <c r="T352" s="175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  <c r="AT352" s="90"/>
    </row>
    <row r="353" spans="18:46" s="54" customFormat="1" x14ac:dyDescent="0.25">
      <c r="R353" s="175"/>
      <c r="S353" s="175"/>
      <c r="T353" s="175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  <c r="AT353" s="90"/>
    </row>
    <row r="354" spans="18:46" s="54" customFormat="1" x14ac:dyDescent="0.25">
      <c r="R354" s="175"/>
      <c r="S354" s="175"/>
      <c r="T354" s="175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  <c r="AT354" s="90"/>
    </row>
    <row r="355" spans="18:46" s="54" customFormat="1" x14ac:dyDescent="0.25">
      <c r="R355" s="175"/>
      <c r="S355" s="175"/>
      <c r="T355" s="175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  <c r="AT355" s="90"/>
    </row>
    <row r="356" spans="18:46" s="54" customFormat="1" x14ac:dyDescent="0.25">
      <c r="R356" s="175"/>
      <c r="S356" s="175"/>
      <c r="T356" s="175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  <c r="AT356" s="90"/>
    </row>
    <row r="357" spans="18:46" s="54" customFormat="1" x14ac:dyDescent="0.25">
      <c r="R357" s="175"/>
      <c r="S357" s="175"/>
      <c r="T357" s="175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  <c r="AT357" s="90"/>
    </row>
    <row r="358" spans="18:46" s="54" customFormat="1" x14ac:dyDescent="0.25">
      <c r="R358" s="175"/>
      <c r="S358" s="175"/>
      <c r="T358" s="175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</row>
    <row r="359" spans="18:46" s="54" customFormat="1" x14ac:dyDescent="0.25">
      <c r="R359" s="175"/>
      <c r="S359" s="175"/>
      <c r="T359" s="175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</row>
    <row r="360" spans="18:46" s="54" customFormat="1" x14ac:dyDescent="0.25">
      <c r="R360" s="175"/>
      <c r="S360" s="175"/>
      <c r="T360" s="175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</row>
    <row r="361" spans="18:46" s="54" customFormat="1" x14ac:dyDescent="0.25">
      <c r="R361" s="175"/>
      <c r="S361" s="175"/>
      <c r="T361" s="175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</row>
    <row r="362" spans="18:46" s="54" customFormat="1" x14ac:dyDescent="0.25">
      <c r="R362" s="175"/>
      <c r="S362" s="175"/>
      <c r="T362" s="175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</row>
    <row r="363" spans="18:46" s="54" customFormat="1" x14ac:dyDescent="0.25">
      <c r="R363" s="175"/>
      <c r="S363" s="175"/>
      <c r="T363" s="175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</row>
    <row r="364" spans="18:46" s="54" customFormat="1" x14ac:dyDescent="0.25">
      <c r="R364" s="175"/>
      <c r="S364" s="175"/>
      <c r="T364" s="175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</row>
    <row r="365" spans="18:46" s="54" customFormat="1" x14ac:dyDescent="0.25">
      <c r="R365" s="175"/>
      <c r="S365" s="175"/>
      <c r="T365" s="175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</row>
    <row r="366" spans="18:46" s="54" customFormat="1" x14ac:dyDescent="0.25">
      <c r="R366" s="175"/>
      <c r="S366" s="175"/>
      <c r="T366" s="175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</row>
    <row r="367" spans="18:46" s="54" customFormat="1" x14ac:dyDescent="0.25">
      <c r="R367" s="175"/>
      <c r="S367" s="175"/>
      <c r="T367" s="175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</row>
    <row r="368" spans="18:46" s="54" customFormat="1" x14ac:dyDescent="0.25">
      <c r="R368" s="175"/>
      <c r="S368" s="175"/>
      <c r="T368" s="175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</row>
    <row r="369" spans="18:46" s="54" customFormat="1" x14ac:dyDescent="0.25">
      <c r="R369" s="175"/>
      <c r="S369" s="175"/>
      <c r="T369" s="175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</row>
    <row r="370" spans="18:46" s="54" customFormat="1" x14ac:dyDescent="0.25">
      <c r="R370" s="175"/>
      <c r="S370" s="175"/>
      <c r="T370" s="175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</row>
    <row r="371" spans="18:46" s="54" customFormat="1" x14ac:dyDescent="0.25">
      <c r="R371" s="175"/>
      <c r="S371" s="175"/>
      <c r="T371" s="175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</row>
    <row r="372" spans="18:46" s="54" customFormat="1" x14ac:dyDescent="0.25">
      <c r="R372" s="175"/>
      <c r="S372" s="175"/>
      <c r="T372" s="175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</row>
    <row r="373" spans="18:46" s="54" customFormat="1" x14ac:dyDescent="0.25">
      <c r="R373" s="175"/>
      <c r="S373" s="175"/>
      <c r="T373" s="175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</row>
    <row r="374" spans="18:46" s="54" customFormat="1" x14ac:dyDescent="0.25">
      <c r="R374" s="175"/>
      <c r="S374" s="175"/>
      <c r="T374" s="175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</row>
    <row r="375" spans="18:46" s="54" customFormat="1" x14ac:dyDescent="0.25">
      <c r="R375" s="175"/>
      <c r="S375" s="175"/>
      <c r="T375" s="175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</row>
    <row r="376" spans="18:46" s="54" customFormat="1" x14ac:dyDescent="0.25">
      <c r="R376" s="175"/>
      <c r="S376" s="175"/>
      <c r="T376" s="175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</row>
    <row r="377" spans="18:46" s="54" customFormat="1" x14ac:dyDescent="0.25">
      <c r="R377" s="175"/>
      <c r="S377" s="175"/>
      <c r="T377" s="175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</row>
    <row r="378" spans="18:46" s="54" customFormat="1" x14ac:dyDescent="0.25">
      <c r="R378" s="175"/>
      <c r="S378" s="175"/>
      <c r="T378" s="175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  <c r="AT378" s="90"/>
    </row>
    <row r="379" spans="18:46" s="54" customFormat="1" x14ac:dyDescent="0.25">
      <c r="R379" s="175"/>
      <c r="S379" s="175"/>
      <c r="T379" s="175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  <c r="AT379" s="90"/>
    </row>
    <row r="380" spans="18:46" s="54" customFormat="1" x14ac:dyDescent="0.25">
      <c r="R380" s="175"/>
      <c r="S380" s="175"/>
      <c r="T380" s="175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  <c r="AT380" s="90"/>
    </row>
    <row r="381" spans="18:46" s="54" customFormat="1" x14ac:dyDescent="0.25">
      <c r="R381" s="175"/>
      <c r="S381" s="175"/>
      <c r="T381" s="175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  <c r="AT381" s="90"/>
    </row>
    <row r="382" spans="18:46" s="54" customFormat="1" x14ac:dyDescent="0.25">
      <c r="R382" s="175"/>
      <c r="S382" s="175"/>
      <c r="T382" s="175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  <c r="AT382" s="90"/>
    </row>
    <row r="383" spans="18:46" s="54" customFormat="1" x14ac:dyDescent="0.25">
      <c r="R383" s="175"/>
      <c r="S383" s="175"/>
      <c r="T383" s="175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  <c r="AT383" s="90"/>
    </row>
    <row r="384" spans="18:46" s="54" customFormat="1" x14ac:dyDescent="0.25">
      <c r="R384" s="175"/>
      <c r="S384" s="175"/>
      <c r="T384" s="175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  <c r="AT384" s="90"/>
    </row>
    <row r="385" spans="18:46" s="54" customFormat="1" x14ac:dyDescent="0.25">
      <c r="R385" s="175"/>
      <c r="S385" s="175"/>
      <c r="T385" s="175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  <c r="AT385" s="90"/>
    </row>
    <row r="386" spans="18:46" s="54" customFormat="1" x14ac:dyDescent="0.25">
      <c r="R386" s="175"/>
      <c r="S386" s="175"/>
      <c r="T386" s="175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  <c r="AT386" s="90"/>
    </row>
    <row r="387" spans="18:46" s="54" customFormat="1" x14ac:dyDescent="0.25">
      <c r="R387" s="175"/>
      <c r="S387" s="175"/>
      <c r="T387" s="175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  <c r="AT387" s="90"/>
    </row>
    <row r="388" spans="18:46" s="54" customFormat="1" x14ac:dyDescent="0.25">
      <c r="R388" s="175"/>
      <c r="S388" s="175"/>
      <c r="T388" s="175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  <c r="AT388" s="90"/>
    </row>
    <row r="389" spans="18:46" s="54" customFormat="1" x14ac:dyDescent="0.25">
      <c r="R389" s="175"/>
      <c r="S389" s="175"/>
      <c r="T389" s="175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  <c r="AT389" s="90"/>
    </row>
    <row r="390" spans="18:46" s="54" customFormat="1" x14ac:dyDescent="0.25">
      <c r="R390" s="175"/>
      <c r="S390" s="175"/>
      <c r="T390" s="175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  <c r="AT390" s="90"/>
    </row>
    <row r="391" spans="18:46" s="54" customFormat="1" x14ac:dyDescent="0.25">
      <c r="R391" s="175"/>
      <c r="S391" s="175"/>
      <c r="T391" s="175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  <c r="AT391" s="90"/>
    </row>
    <row r="392" spans="18:46" s="54" customFormat="1" x14ac:dyDescent="0.25">
      <c r="R392" s="175"/>
      <c r="S392" s="175"/>
      <c r="T392" s="175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  <c r="AT392" s="90"/>
    </row>
    <row r="393" spans="18:46" s="54" customFormat="1" x14ac:dyDescent="0.25">
      <c r="R393" s="175"/>
      <c r="S393" s="175"/>
      <c r="T393" s="175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  <c r="AT393" s="90"/>
    </row>
    <row r="394" spans="18:46" s="54" customFormat="1" x14ac:dyDescent="0.25">
      <c r="R394" s="175"/>
      <c r="S394" s="175"/>
      <c r="T394" s="175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  <c r="AT394" s="90"/>
    </row>
    <row r="395" spans="18:46" s="54" customFormat="1" x14ac:dyDescent="0.25">
      <c r="R395" s="175"/>
      <c r="S395" s="175"/>
      <c r="T395" s="175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  <c r="AT395" s="90"/>
    </row>
    <row r="396" spans="18:46" s="54" customFormat="1" x14ac:dyDescent="0.25">
      <c r="R396" s="175"/>
      <c r="S396" s="175"/>
      <c r="T396" s="175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  <c r="AT396" s="90"/>
    </row>
    <row r="397" spans="18:46" s="54" customFormat="1" x14ac:dyDescent="0.25">
      <c r="R397" s="175"/>
      <c r="S397" s="175"/>
      <c r="T397" s="175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  <c r="AT397" s="90"/>
    </row>
    <row r="398" spans="18:46" s="54" customFormat="1" x14ac:dyDescent="0.25">
      <c r="R398" s="175"/>
      <c r="S398" s="175"/>
      <c r="T398" s="175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  <c r="AT398" s="90"/>
    </row>
    <row r="399" spans="18:46" s="54" customFormat="1" x14ac:dyDescent="0.25">
      <c r="R399" s="175"/>
      <c r="S399" s="175"/>
      <c r="T399" s="175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</row>
    <row r="400" spans="18:46" s="54" customFormat="1" x14ac:dyDescent="0.25">
      <c r="R400" s="175"/>
      <c r="S400" s="175"/>
      <c r="T400" s="175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</row>
    <row r="401" spans="18:46" s="54" customFormat="1" x14ac:dyDescent="0.25">
      <c r="R401" s="175"/>
      <c r="S401" s="175"/>
      <c r="T401" s="175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</row>
    <row r="402" spans="18:46" s="54" customFormat="1" x14ac:dyDescent="0.25">
      <c r="R402" s="175"/>
      <c r="S402" s="175"/>
      <c r="T402" s="175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</row>
    <row r="403" spans="18:46" s="54" customFormat="1" x14ac:dyDescent="0.25">
      <c r="R403" s="175"/>
      <c r="S403" s="175"/>
      <c r="T403" s="175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</row>
    <row r="404" spans="18:46" s="54" customFormat="1" x14ac:dyDescent="0.25">
      <c r="R404" s="175"/>
      <c r="S404" s="175"/>
      <c r="T404" s="175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</row>
    <row r="405" spans="18:46" s="54" customFormat="1" x14ac:dyDescent="0.25">
      <c r="R405" s="175"/>
      <c r="S405" s="175"/>
      <c r="T405" s="175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</row>
    <row r="406" spans="18:46" s="54" customFormat="1" x14ac:dyDescent="0.25">
      <c r="R406" s="175"/>
      <c r="S406" s="175"/>
      <c r="T406" s="175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</row>
    <row r="407" spans="18:46" s="54" customFormat="1" x14ac:dyDescent="0.25">
      <c r="R407" s="175"/>
      <c r="S407" s="175"/>
      <c r="T407" s="175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</row>
    <row r="408" spans="18:46" s="54" customFormat="1" x14ac:dyDescent="0.25">
      <c r="R408" s="175"/>
      <c r="S408" s="175"/>
      <c r="T408" s="175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</row>
    <row r="409" spans="18:46" s="54" customFormat="1" x14ac:dyDescent="0.25">
      <c r="R409" s="175"/>
      <c r="S409" s="175"/>
      <c r="T409" s="175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</row>
    <row r="410" spans="18:46" s="54" customFormat="1" x14ac:dyDescent="0.25">
      <c r="R410" s="175"/>
      <c r="S410" s="175"/>
      <c r="T410" s="175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</row>
    <row r="411" spans="18:46" s="54" customFormat="1" x14ac:dyDescent="0.25">
      <c r="R411" s="175"/>
      <c r="S411" s="175"/>
      <c r="T411" s="175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</row>
    <row r="412" spans="18:46" s="54" customFormat="1" x14ac:dyDescent="0.25">
      <c r="R412" s="175"/>
      <c r="S412" s="175"/>
      <c r="T412" s="175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</row>
    <row r="413" spans="18:46" s="54" customFormat="1" x14ac:dyDescent="0.25">
      <c r="R413" s="175"/>
      <c r="S413" s="175"/>
      <c r="T413" s="175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</row>
    <row r="414" spans="18:46" s="54" customFormat="1" x14ac:dyDescent="0.25">
      <c r="R414" s="175"/>
      <c r="S414" s="175"/>
      <c r="T414" s="175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</row>
    <row r="415" spans="18:46" s="54" customFormat="1" x14ac:dyDescent="0.25">
      <c r="R415" s="175"/>
      <c r="S415" s="175"/>
      <c r="T415" s="175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</row>
    <row r="416" spans="18:46" s="54" customFormat="1" x14ac:dyDescent="0.25">
      <c r="R416" s="175"/>
      <c r="S416" s="175"/>
      <c r="T416" s="175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</row>
    <row r="417" spans="18:46" s="54" customFormat="1" x14ac:dyDescent="0.25">
      <c r="R417" s="175"/>
      <c r="S417" s="175"/>
      <c r="T417" s="175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</row>
    <row r="418" spans="18:46" s="54" customFormat="1" x14ac:dyDescent="0.25">
      <c r="R418" s="175"/>
      <c r="S418" s="175"/>
      <c r="T418" s="175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</row>
    <row r="419" spans="18:46" s="54" customFormat="1" x14ac:dyDescent="0.25">
      <c r="R419" s="175"/>
      <c r="S419" s="175"/>
      <c r="T419" s="175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  <c r="AT419" s="90"/>
    </row>
    <row r="420" spans="18:46" s="54" customFormat="1" x14ac:dyDescent="0.25">
      <c r="R420" s="175"/>
      <c r="S420" s="175"/>
      <c r="T420" s="175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  <c r="AT420" s="90"/>
    </row>
    <row r="421" spans="18:46" s="54" customFormat="1" x14ac:dyDescent="0.25">
      <c r="R421" s="175"/>
      <c r="S421" s="175"/>
      <c r="T421" s="175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  <c r="AT421" s="90"/>
    </row>
    <row r="422" spans="18:46" s="54" customFormat="1" x14ac:dyDescent="0.25">
      <c r="R422" s="175"/>
      <c r="S422" s="175"/>
      <c r="T422" s="175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  <c r="AT422" s="90"/>
    </row>
    <row r="423" spans="18:46" s="54" customFormat="1" x14ac:dyDescent="0.25">
      <c r="R423" s="175"/>
      <c r="S423" s="175"/>
      <c r="T423" s="175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  <c r="AT423" s="90"/>
    </row>
    <row r="424" spans="18:46" s="54" customFormat="1" x14ac:dyDescent="0.25">
      <c r="R424" s="175"/>
      <c r="S424" s="175"/>
      <c r="T424" s="175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  <c r="AT424" s="90"/>
    </row>
    <row r="425" spans="18:46" s="54" customFormat="1" x14ac:dyDescent="0.25">
      <c r="R425" s="175"/>
      <c r="S425" s="175"/>
      <c r="T425" s="175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  <c r="AT425" s="90"/>
    </row>
    <row r="426" spans="18:46" s="54" customFormat="1" x14ac:dyDescent="0.25">
      <c r="R426" s="175"/>
      <c r="S426" s="175"/>
      <c r="T426" s="175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  <c r="AT426" s="90"/>
    </row>
    <row r="427" spans="18:46" s="54" customFormat="1" x14ac:dyDescent="0.25">
      <c r="R427" s="175"/>
      <c r="S427" s="175"/>
      <c r="T427" s="175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  <c r="AT427" s="90"/>
    </row>
    <row r="428" spans="18:46" s="54" customFormat="1" x14ac:dyDescent="0.25">
      <c r="R428" s="175"/>
      <c r="S428" s="175"/>
      <c r="T428" s="175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  <c r="AT428" s="90"/>
    </row>
    <row r="429" spans="18:46" s="54" customFormat="1" x14ac:dyDescent="0.25">
      <c r="R429" s="175"/>
      <c r="S429" s="175"/>
      <c r="T429" s="175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  <c r="AT429" s="90"/>
    </row>
    <row r="430" spans="18:46" s="54" customFormat="1" x14ac:dyDescent="0.25">
      <c r="R430" s="175"/>
      <c r="S430" s="175"/>
      <c r="T430" s="175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  <c r="AT430" s="90"/>
    </row>
    <row r="431" spans="18:46" s="54" customFormat="1" x14ac:dyDescent="0.25">
      <c r="R431" s="175"/>
      <c r="S431" s="175"/>
      <c r="T431" s="175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  <c r="AT431" s="90"/>
    </row>
    <row r="432" spans="18:46" s="54" customFormat="1" x14ac:dyDescent="0.25">
      <c r="R432" s="175"/>
      <c r="S432" s="175"/>
      <c r="T432" s="175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  <c r="AT432" s="90"/>
    </row>
    <row r="433" spans="18:46" s="54" customFormat="1" x14ac:dyDescent="0.25">
      <c r="R433" s="175"/>
      <c r="S433" s="175"/>
      <c r="T433" s="175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  <c r="AT433" s="90"/>
    </row>
    <row r="434" spans="18:46" s="54" customFormat="1" x14ac:dyDescent="0.25">
      <c r="R434" s="175"/>
      <c r="S434" s="175"/>
      <c r="T434" s="175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  <c r="AT434" s="90"/>
    </row>
    <row r="435" spans="18:46" s="54" customFormat="1" x14ac:dyDescent="0.25">
      <c r="R435" s="175"/>
      <c r="S435" s="175"/>
      <c r="T435" s="175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  <c r="AT435" s="90"/>
    </row>
    <row r="436" spans="18:46" s="54" customFormat="1" x14ac:dyDescent="0.25">
      <c r="R436" s="175"/>
      <c r="S436" s="175"/>
      <c r="T436" s="175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  <c r="AT436" s="90"/>
    </row>
    <row r="437" spans="18:46" s="54" customFormat="1" x14ac:dyDescent="0.25">
      <c r="R437" s="175"/>
      <c r="S437" s="175"/>
      <c r="T437" s="175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  <c r="AT437" s="90"/>
    </row>
    <row r="438" spans="18:46" s="54" customFormat="1" x14ac:dyDescent="0.25">
      <c r="R438" s="175"/>
      <c r="S438" s="175"/>
      <c r="T438" s="175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</row>
    <row r="439" spans="18:46" s="54" customFormat="1" x14ac:dyDescent="0.25">
      <c r="R439" s="175"/>
      <c r="S439" s="175"/>
      <c r="T439" s="175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</row>
    <row r="440" spans="18:46" s="54" customFormat="1" x14ac:dyDescent="0.25">
      <c r="R440" s="175"/>
      <c r="S440" s="175"/>
      <c r="T440" s="175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</row>
    <row r="441" spans="18:46" s="54" customFormat="1" x14ac:dyDescent="0.25">
      <c r="R441" s="175"/>
      <c r="S441" s="175"/>
      <c r="T441" s="175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</row>
    <row r="442" spans="18:46" s="54" customFormat="1" x14ac:dyDescent="0.25">
      <c r="R442" s="175"/>
      <c r="S442" s="175"/>
      <c r="T442" s="175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</row>
    <row r="443" spans="18:46" s="54" customFormat="1" x14ac:dyDescent="0.25">
      <c r="R443" s="175"/>
      <c r="S443" s="175"/>
      <c r="T443" s="175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</row>
    <row r="444" spans="18:46" s="54" customFormat="1" x14ac:dyDescent="0.25">
      <c r="R444" s="175"/>
      <c r="S444" s="175"/>
      <c r="T444" s="175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</row>
    <row r="445" spans="18:46" s="54" customFormat="1" x14ac:dyDescent="0.25">
      <c r="R445" s="175"/>
      <c r="S445" s="175"/>
      <c r="T445" s="175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</row>
    <row r="446" spans="18:46" s="54" customFormat="1" x14ac:dyDescent="0.25">
      <c r="R446" s="175"/>
      <c r="S446" s="175"/>
      <c r="T446" s="175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</row>
    <row r="447" spans="18:46" s="54" customFormat="1" x14ac:dyDescent="0.25">
      <c r="R447" s="175"/>
      <c r="S447" s="175"/>
      <c r="T447" s="175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</row>
    <row r="448" spans="18:46" s="54" customFormat="1" x14ac:dyDescent="0.25">
      <c r="R448" s="175"/>
      <c r="S448" s="175"/>
      <c r="T448" s="175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</row>
    <row r="449" spans="18:46" s="54" customFormat="1" x14ac:dyDescent="0.25">
      <c r="R449" s="175"/>
      <c r="S449" s="175"/>
      <c r="T449" s="175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</row>
    <row r="450" spans="18:46" s="54" customFormat="1" x14ac:dyDescent="0.25">
      <c r="R450" s="175"/>
      <c r="S450" s="175"/>
      <c r="T450" s="175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</row>
    <row r="451" spans="18:46" s="54" customFormat="1" x14ac:dyDescent="0.25">
      <c r="R451" s="175"/>
      <c r="S451" s="175"/>
      <c r="T451" s="175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</row>
    <row r="452" spans="18:46" s="54" customFormat="1" x14ac:dyDescent="0.25">
      <c r="R452" s="175"/>
      <c r="S452" s="175"/>
      <c r="T452" s="175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</row>
    <row r="453" spans="18:46" s="54" customFormat="1" x14ac:dyDescent="0.25">
      <c r="R453" s="175"/>
      <c r="S453" s="175"/>
      <c r="T453" s="175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</row>
    <row r="454" spans="18:46" s="54" customFormat="1" x14ac:dyDescent="0.25">
      <c r="R454" s="175"/>
      <c r="S454" s="175"/>
      <c r="T454" s="175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</row>
    <row r="455" spans="18:46" s="54" customFormat="1" x14ac:dyDescent="0.25">
      <c r="R455" s="175"/>
      <c r="S455" s="175"/>
      <c r="T455" s="175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</row>
    <row r="456" spans="18:46" s="54" customFormat="1" x14ac:dyDescent="0.25">
      <c r="R456" s="175"/>
      <c r="S456" s="175"/>
      <c r="T456" s="175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</row>
    <row r="457" spans="18:46" s="54" customFormat="1" x14ac:dyDescent="0.25">
      <c r="R457" s="175"/>
      <c r="S457" s="175"/>
      <c r="T457" s="175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</row>
    <row r="458" spans="18:46" s="54" customFormat="1" x14ac:dyDescent="0.25">
      <c r="R458" s="175"/>
      <c r="S458" s="175"/>
      <c r="T458" s="175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  <c r="AQ458" s="90"/>
      <c r="AR458" s="90"/>
      <c r="AS458" s="90"/>
      <c r="AT458" s="90"/>
    </row>
    <row r="459" spans="18:46" s="54" customFormat="1" x14ac:dyDescent="0.25">
      <c r="R459" s="175"/>
      <c r="S459" s="175"/>
      <c r="T459" s="175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  <c r="AT459" s="90"/>
    </row>
    <row r="460" spans="18:46" s="54" customFormat="1" x14ac:dyDescent="0.25">
      <c r="R460" s="175"/>
      <c r="S460" s="175"/>
      <c r="T460" s="175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  <c r="AQ460" s="90"/>
      <c r="AR460" s="90"/>
      <c r="AS460" s="90"/>
      <c r="AT460" s="90"/>
    </row>
    <row r="461" spans="18:46" s="54" customFormat="1" x14ac:dyDescent="0.25">
      <c r="R461" s="175"/>
      <c r="S461" s="175"/>
      <c r="T461" s="175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  <c r="AT461" s="90"/>
    </row>
    <row r="462" spans="18:46" s="54" customFormat="1" x14ac:dyDescent="0.25">
      <c r="R462" s="175"/>
      <c r="S462" s="175"/>
      <c r="T462" s="175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  <c r="AQ462" s="90"/>
      <c r="AR462" s="90"/>
      <c r="AS462" s="90"/>
      <c r="AT462" s="90"/>
    </row>
    <row r="463" spans="18:46" s="54" customFormat="1" x14ac:dyDescent="0.25">
      <c r="R463" s="175"/>
      <c r="S463" s="175"/>
      <c r="T463" s="175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  <c r="AT463" s="90"/>
    </row>
    <row r="464" spans="18:46" s="54" customFormat="1" x14ac:dyDescent="0.25">
      <c r="R464" s="175"/>
      <c r="S464" s="175"/>
      <c r="T464" s="175"/>
      <c r="U464" s="90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90"/>
      <c r="AQ464" s="90"/>
      <c r="AR464" s="90"/>
      <c r="AS464" s="90"/>
      <c r="AT464" s="90"/>
    </row>
    <row r="465" spans="18:46" s="54" customFormat="1" x14ac:dyDescent="0.25">
      <c r="R465" s="175"/>
      <c r="S465" s="175"/>
      <c r="T465" s="175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  <c r="AQ465" s="90"/>
      <c r="AR465" s="90"/>
      <c r="AS465" s="90"/>
      <c r="AT465" s="90"/>
    </row>
    <row r="466" spans="18:46" s="54" customFormat="1" x14ac:dyDescent="0.25">
      <c r="R466" s="175"/>
      <c r="S466" s="175"/>
      <c r="T466" s="175"/>
      <c r="U466" s="90"/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  <c r="AL466" s="90"/>
      <c r="AM466" s="90"/>
      <c r="AN466" s="90"/>
      <c r="AO466" s="90"/>
      <c r="AP466" s="90"/>
      <c r="AQ466" s="90"/>
      <c r="AR466" s="90"/>
      <c r="AS466" s="90"/>
      <c r="AT466" s="90"/>
    </row>
    <row r="467" spans="18:46" s="54" customFormat="1" x14ac:dyDescent="0.25">
      <c r="R467" s="175"/>
      <c r="S467" s="175"/>
      <c r="T467" s="175"/>
      <c r="U467" s="90"/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  <c r="AP467" s="90"/>
      <c r="AQ467" s="90"/>
      <c r="AR467" s="90"/>
      <c r="AS467" s="90"/>
      <c r="AT467" s="90"/>
    </row>
    <row r="468" spans="18:46" s="54" customFormat="1" x14ac:dyDescent="0.25">
      <c r="R468" s="175"/>
      <c r="S468" s="175"/>
      <c r="T468" s="175"/>
      <c r="U468" s="90"/>
      <c r="V468" s="90"/>
      <c r="W468" s="90"/>
      <c r="X468" s="90"/>
      <c r="Y468" s="90"/>
      <c r="Z468" s="90"/>
      <c r="AA468" s="90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  <c r="AL468" s="90"/>
      <c r="AM468" s="90"/>
      <c r="AN468" s="90"/>
      <c r="AO468" s="90"/>
      <c r="AP468" s="90"/>
      <c r="AQ468" s="90"/>
      <c r="AR468" s="90"/>
      <c r="AS468" s="90"/>
      <c r="AT468" s="90"/>
    </row>
    <row r="469" spans="18:46" s="54" customFormat="1" x14ac:dyDescent="0.25">
      <c r="R469" s="175"/>
      <c r="S469" s="175"/>
      <c r="T469" s="175"/>
      <c r="U469" s="90"/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  <c r="AP469" s="90"/>
      <c r="AQ469" s="90"/>
      <c r="AR469" s="90"/>
      <c r="AS469" s="90"/>
      <c r="AT469" s="90"/>
    </row>
    <row r="470" spans="18:46" s="54" customFormat="1" x14ac:dyDescent="0.25">
      <c r="R470" s="175"/>
      <c r="S470" s="175"/>
      <c r="T470" s="175"/>
      <c r="U470" s="90"/>
      <c r="V470" s="90"/>
      <c r="W470" s="90"/>
      <c r="X470" s="90"/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  <c r="AL470" s="90"/>
      <c r="AM470" s="90"/>
      <c r="AN470" s="90"/>
      <c r="AO470" s="90"/>
      <c r="AP470" s="90"/>
      <c r="AQ470" s="90"/>
      <c r="AR470" s="90"/>
      <c r="AS470" s="90"/>
      <c r="AT470" s="90"/>
    </row>
    <row r="471" spans="18:46" s="54" customFormat="1" x14ac:dyDescent="0.25">
      <c r="R471" s="175"/>
      <c r="S471" s="175"/>
      <c r="T471" s="175"/>
      <c r="U471" s="90"/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  <c r="AP471" s="90"/>
      <c r="AQ471" s="90"/>
      <c r="AR471" s="90"/>
      <c r="AS471" s="90"/>
      <c r="AT471" s="90"/>
    </row>
    <row r="472" spans="18:46" s="54" customFormat="1" x14ac:dyDescent="0.25">
      <c r="R472" s="175"/>
      <c r="S472" s="175"/>
      <c r="T472" s="175"/>
      <c r="U472" s="90"/>
      <c r="V472" s="90"/>
      <c r="W472" s="90"/>
      <c r="X472" s="90"/>
      <c r="Y472" s="90"/>
      <c r="Z472" s="90"/>
      <c r="AA472" s="90"/>
      <c r="AB472" s="90"/>
      <c r="AC472" s="90"/>
      <c r="AD472" s="90"/>
      <c r="AE472" s="90"/>
      <c r="AF472" s="90"/>
      <c r="AG472" s="90"/>
      <c r="AH472" s="90"/>
      <c r="AI472" s="90"/>
      <c r="AJ472" s="90"/>
      <c r="AK472" s="90"/>
      <c r="AL472" s="90"/>
      <c r="AM472" s="90"/>
      <c r="AN472" s="90"/>
      <c r="AO472" s="90"/>
      <c r="AP472" s="90"/>
      <c r="AQ472" s="90"/>
      <c r="AR472" s="90"/>
      <c r="AS472" s="90"/>
      <c r="AT472" s="90"/>
    </row>
    <row r="473" spans="18:46" s="54" customFormat="1" x14ac:dyDescent="0.25">
      <c r="R473" s="175"/>
      <c r="S473" s="175"/>
      <c r="T473" s="175"/>
      <c r="U473" s="90"/>
      <c r="V473" s="90"/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  <c r="AO473" s="90"/>
      <c r="AP473" s="90"/>
      <c r="AQ473" s="90"/>
      <c r="AR473" s="90"/>
      <c r="AS473" s="90"/>
      <c r="AT473" s="90"/>
    </row>
    <row r="474" spans="18:46" s="54" customFormat="1" x14ac:dyDescent="0.25">
      <c r="R474" s="175"/>
      <c r="S474" s="175"/>
      <c r="T474" s="175"/>
      <c r="U474" s="90"/>
      <c r="V474" s="90"/>
      <c r="W474" s="90"/>
      <c r="X474" s="90"/>
      <c r="Y474" s="90"/>
      <c r="Z474" s="90"/>
      <c r="AA474" s="90"/>
      <c r="AB474" s="90"/>
      <c r="AC474" s="90"/>
      <c r="AD474" s="90"/>
      <c r="AE474" s="90"/>
      <c r="AF474" s="90"/>
      <c r="AG474" s="90"/>
      <c r="AH474" s="90"/>
      <c r="AI474" s="90"/>
      <c r="AJ474" s="90"/>
      <c r="AK474" s="90"/>
      <c r="AL474" s="90"/>
      <c r="AM474" s="90"/>
      <c r="AN474" s="90"/>
      <c r="AO474" s="90"/>
      <c r="AP474" s="90"/>
      <c r="AQ474" s="90"/>
      <c r="AR474" s="90"/>
      <c r="AS474" s="90"/>
      <c r="AT474" s="90"/>
    </row>
    <row r="475" spans="18:46" s="54" customFormat="1" x14ac:dyDescent="0.25">
      <c r="R475" s="175"/>
      <c r="S475" s="175"/>
      <c r="T475" s="175"/>
      <c r="U475" s="90"/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  <c r="AP475" s="90"/>
      <c r="AQ475" s="90"/>
      <c r="AR475" s="90"/>
      <c r="AS475" s="90"/>
      <c r="AT475" s="90"/>
    </row>
    <row r="476" spans="18:46" s="54" customFormat="1" x14ac:dyDescent="0.25">
      <c r="R476" s="175"/>
      <c r="S476" s="175"/>
      <c r="T476" s="175"/>
      <c r="U476" s="90"/>
      <c r="V476" s="90"/>
      <c r="W476" s="90"/>
      <c r="X476" s="90"/>
      <c r="Y476" s="90"/>
      <c r="Z476" s="90"/>
      <c r="AA476" s="90"/>
      <c r="AB476" s="90"/>
      <c r="AC476" s="90"/>
      <c r="AD476" s="90"/>
      <c r="AE476" s="90"/>
      <c r="AF476" s="90"/>
      <c r="AG476" s="90"/>
      <c r="AH476" s="90"/>
      <c r="AI476" s="90"/>
      <c r="AJ476" s="90"/>
      <c r="AK476" s="90"/>
      <c r="AL476" s="90"/>
      <c r="AM476" s="90"/>
      <c r="AN476" s="90"/>
      <c r="AO476" s="90"/>
      <c r="AP476" s="90"/>
      <c r="AQ476" s="90"/>
      <c r="AR476" s="90"/>
      <c r="AS476" s="90"/>
      <c r="AT476" s="90"/>
    </row>
    <row r="477" spans="18:46" s="54" customFormat="1" x14ac:dyDescent="0.25">
      <c r="R477" s="175"/>
      <c r="S477" s="175"/>
      <c r="T477" s="175"/>
      <c r="U477" s="90"/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  <c r="AP477" s="90"/>
      <c r="AQ477" s="90"/>
      <c r="AR477" s="90"/>
      <c r="AS477" s="90"/>
      <c r="AT477" s="90"/>
    </row>
    <row r="478" spans="18:46" s="54" customFormat="1" x14ac:dyDescent="0.25">
      <c r="R478" s="175"/>
      <c r="S478" s="175"/>
      <c r="T478" s="175"/>
      <c r="U478" s="90"/>
      <c r="V478" s="90"/>
      <c r="W478" s="90"/>
      <c r="X478" s="90"/>
      <c r="Y478" s="90"/>
      <c r="Z478" s="90"/>
      <c r="AA478" s="90"/>
      <c r="AB478" s="90"/>
      <c r="AC478" s="90"/>
      <c r="AD478" s="90"/>
      <c r="AE478" s="90"/>
      <c r="AF478" s="90"/>
      <c r="AG478" s="90"/>
      <c r="AH478" s="90"/>
      <c r="AI478" s="90"/>
      <c r="AJ478" s="90"/>
      <c r="AK478" s="90"/>
      <c r="AL478" s="90"/>
      <c r="AM478" s="90"/>
      <c r="AN478" s="90"/>
      <c r="AO478" s="90"/>
      <c r="AP478" s="90"/>
      <c r="AQ478" s="90"/>
      <c r="AR478" s="90"/>
      <c r="AS478" s="90"/>
      <c r="AT478" s="90"/>
    </row>
    <row r="479" spans="18:46" s="54" customFormat="1" x14ac:dyDescent="0.25">
      <c r="R479" s="175"/>
      <c r="S479" s="175"/>
      <c r="T479" s="175"/>
      <c r="U479" s="90"/>
      <c r="V479" s="90"/>
      <c r="W479" s="90"/>
      <c r="X479" s="90"/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  <c r="AL479" s="90"/>
      <c r="AM479" s="90"/>
      <c r="AN479" s="90"/>
      <c r="AO479" s="90"/>
      <c r="AP479" s="90"/>
      <c r="AQ479" s="90"/>
      <c r="AR479" s="90"/>
      <c r="AS479" s="90"/>
      <c r="AT479" s="90"/>
    </row>
    <row r="480" spans="18:46" s="54" customFormat="1" x14ac:dyDescent="0.25">
      <c r="R480" s="175"/>
      <c r="S480" s="175"/>
      <c r="T480" s="175"/>
      <c r="U480" s="90"/>
      <c r="V480" s="90"/>
      <c r="W480" s="90"/>
      <c r="X480" s="90"/>
      <c r="Y480" s="90"/>
      <c r="Z480" s="90"/>
      <c r="AA480" s="90"/>
      <c r="AB480" s="90"/>
      <c r="AC480" s="90"/>
      <c r="AD480" s="90"/>
      <c r="AE480" s="90"/>
      <c r="AF480" s="90"/>
      <c r="AG480" s="90"/>
      <c r="AH480" s="90"/>
      <c r="AI480" s="90"/>
      <c r="AJ480" s="90"/>
      <c r="AK480" s="90"/>
      <c r="AL480" s="90"/>
      <c r="AM480" s="90"/>
      <c r="AN480" s="90"/>
      <c r="AO480" s="90"/>
      <c r="AP480" s="90"/>
      <c r="AQ480" s="90"/>
      <c r="AR480" s="90"/>
      <c r="AS480" s="90"/>
      <c r="AT480" s="90"/>
    </row>
    <row r="481" spans="18:46" s="54" customFormat="1" x14ac:dyDescent="0.25">
      <c r="R481" s="175"/>
      <c r="S481" s="175"/>
      <c r="T481" s="175"/>
      <c r="U481" s="90"/>
      <c r="V481" s="90"/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  <c r="AO481" s="90"/>
      <c r="AP481" s="90"/>
      <c r="AQ481" s="90"/>
      <c r="AR481" s="90"/>
      <c r="AS481" s="90"/>
      <c r="AT481" s="90"/>
    </row>
    <row r="482" spans="18:46" s="54" customFormat="1" x14ac:dyDescent="0.25">
      <c r="R482" s="175"/>
      <c r="S482" s="175"/>
      <c r="T482" s="175"/>
      <c r="U482" s="90"/>
      <c r="V482" s="90"/>
      <c r="W482" s="90"/>
      <c r="X482" s="90"/>
      <c r="Y482" s="90"/>
      <c r="Z482" s="90"/>
      <c r="AA482" s="90"/>
      <c r="AB482" s="90"/>
      <c r="AC482" s="90"/>
      <c r="AD482" s="90"/>
      <c r="AE482" s="90"/>
      <c r="AF482" s="90"/>
      <c r="AG482" s="90"/>
      <c r="AH482" s="90"/>
      <c r="AI482" s="90"/>
      <c r="AJ482" s="90"/>
      <c r="AK482" s="90"/>
      <c r="AL482" s="90"/>
      <c r="AM482" s="90"/>
      <c r="AN482" s="90"/>
      <c r="AO482" s="90"/>
      <c r="AP482" s="90"/>
      <c r="AQ482" s="90"/>
      <c r="AR482" s="90"/>
      <c r="AS482" s="90"/>
      <c r="AT482" s="90"/>
    </row>
    <row r="483" spans="18:46" s="54" customFormat="1" x14ac:dyDescent="0.25">
      <c r="R483" s="175"/>
      <c r="S483" s="175"/>
      <c r="T483" s="175"/>
      <c r="U483" s="90"/>
      <c r="V483" s="90"/>
      <c r="W483" s="90"/>
      <c r="X483" s="90"/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  <c r="AL483" s="90"/>
      <c r="AM483" s="90"/>
      <c r="AN483" s="90"/>
      <c r="AO483" s="90"/>
      <c r="AP483" s="90"/>
      <c r="AQ483" s="90"/>
      <c r="AR483" s="90"/>
      <c r="AS483" s="90"/>
      <c r="AT483" s="90"/>
    </row>
    <row r="484" spans="18:46" s="54" customFormat="1" x14ac:dyDescent="0.25">
      <c r="R484" s="175"/>
      <c r="S484" s="175"/>
      <c r="T484" s="175"/>
      <c r="U484" s="90"/>
      <c r="V484" s="90"/>
      <c r="W484" s="90"/>
      <c r="X484" s="90"/>
      <c r="Y484" s="90"/>
      <c r="Z484" s="90"/>
      <c r="AA484" s="90"/>
      <c r="AB484" s="90"/>
      <c r="AC484" s="90"/>
      <c r="AD484" s="90"/>
      <c r="AE484" s="90"/>
      <c r="AF484" s="90"/>
      <c r="AG484" s="90"/>
      <c r="AH484" s="90"/>
      <c r="AI484" s="90"/>
      <c r="AJ484" s="90"/>
      <c r="AK484" s="90"/>
      <c r="AL484" s="90"/>
      <c r="AM484" s="90"/>
      <c r="AN484" s="90"/>
      <c r="AO484" s="90"/>
      <c r="AP484" s="90"/>
      <c r="AQ484" s="90"/>
      <c r="AR484" s="90"/>
      <c r="AS484" s="90"/>
      <c r="AT484" s="90"/>
    </row>
    <row r="485" spans="18:46" s="54" customFormat="1" x14ac:dyDescent="0.25">
      <c r="R485" s="175"/>
      <c r="S485" s="175"/>
      <c r="T485" s="175"/>
      <c r="U485" s="90"/>
      <c r="V485" s="90"/>
      <c r="W485" s="90"/>
      <c r="X485" s="90"/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90"/>
      <c r="AN485" s="90"/>
      <c r="AO485" s="90"/>
      <c r="AP485" s="90"/>
      <c r="AQ485" s="90"/>
      <c r="AR485" s="90"/>
      <c r="AS485" s="90"/>
      <c r="AT485" s="90"/>
    </row>
    <row r="486" spans="18:46" s="54" customFormat="1" x14ac:dyDescent="0.25">
      <c r="R486" s="175"/>
      <c r="S486" s="175"/>
      <c r="T486" s="175"/>
      <c r="U486" s="90"/>
      <c r="V486" s="90"/>
      <c r="W486" s="90"/>
      <c r="X486" s="90"/>
      <c r="Y486" s="90"/>
      <c r="Z486" s="90"/>
      <c r="AA486" s="90"/>
      <c r="AB486" s="90"/>
      <c r="AC486" s="90"/>
      <c r="AD486" s="90"/>
      <c r="AE486" s="90"/>
      <c r="AF486" s="90"/>
      <c r="AG486" s="90"/>
      <c r="AH486" s="90"/>
      <c r="AI486" s="90"/>
      <c r="AJ486" s="90"/>
      <c r="AK486" s="90"/>
      <c r="AL486" s="90"/>
      <c r="AM486" s="90"/>
      <c r="AN486" s="90"/>
      <c r="AO486" s="90"/>
      <c r="AP486" s="90"/>
      <c r="AQ486" s="90"/>
      <c r="AR486" s="90"/>
      <c r="AS486" s="90"/>
      <c r="AT486" s="90"/>
    </row>
    <row r="487" spans="18:46" s="54" customFormat="1" x14ac:dyDescent="0.25">
      <c r="R487" s="175"/>
      <c r="S487" s="175"/>
      <c r="T487" s="175"/>
      <c r="U487" s="90"/>
      <c r="V487" s="90"/>
      <c r="W487" s="90"/>
      <c r="X487" s="90"/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  <c r="AL487" s="90"/>
      <c r="AM487" s="90"/>
      <c r="AN487" s="90"/>
      <c r="AO487" s="90"/>
      <c r="AP487" s="90"/>
      <c r="AQ487" s="90"/>
      <c r="AR487" s="90"/>
      <c r="AS487" s="90"/>
      <c r="AT487" s="90"/>
    </row>
    <row r="488" spans="18:46" s="54" customFormat="1" x14ac:dyDescent="0.25">
      <c r="R488" s="175"/>
      <c r="S488" s="175"/>
      <c r="T488" s="175"/>
      <c r="U488" s="90"/>
      <c r="V488" s="90"/>
      <c r="W488" s="90"/>
      <c r="X488" s="90"/>
      <c r="Y488" s="90"/>
      <c r="Z488" s="90"/>
      <c r="AA488" s="90"/>
      <c r="AB488" s="90"/>
      <c r="AC488" s="90"/>
      <c r="AD488" s="90"/>
      <c r="AE488" s="90"/>
      <c r="AF488" s="90"/>
      <c r="AG488" s="90"/>
      <c r="AH488" s="90"/>
      <c r="AI488" s="90"/>
      <c r="AJ488" s="90"/>
      <c r="AK488" s="90"/>
      <c r="AL488" s="90"/>
      <c r="AM488" s="90"/>
      <c r="AN488" s="90"/>
      <c r="AO488" s="90"/>
      <c r="AP488" s="90"/>
      <c r="AQ488" s="90"/>
      <c r="AR488" s="90"/>
      <c r="AS488" s="90"/>
      <c r="AT488" s="90"/>
    </row>
    <row r="489" spans="18:46" s="54" customFormat="1" x14ac:dyDescent="0.25">
      <c r="R489" s="175"/>
      <c r="S489" s="175"/>
      <c r="T489" s="175"/>
      <c r="U489" s="90"/>
      <c r="V489" s="90"/>
      <c r="W489" s="90"/>
      <c r="X489" s="90"/>
      <c r="Y489" s="90"/>
      <c r="Z489" s="90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  <c r="AM489" s="90"/>
      <c r="AN489" s="90"/>
      <c r="AO489" s="90"/>
      <c r="AP489" s="90"/>
      <c r="AQ489" s="90"/>
      <c r="AR489" s="90"/>
      <c r="AS489" s="90"/>
      <c r="AT489" s="90"/>
    </row>
    <row r="490" spans="18:46" s="54" customFormat="1" x14ac:dyDescent="0.25">
      <c r="R490" s="175"/>
      <c r="S490" s="175"/>
      <c r="T490" s="175"/>
      <c r="U490" s="90"/>
      <c r="V490" s="90"/>
      <c r="W490" s="90"/>
      <c r="X490" s="90"/>
      <c r="Y490" s="90"/>
      <c r="Z490" s="90"/>
      <c r="AA490" s="90"/>
      <c r="AB490" s="90"/>
      <c r="AC490" s="90"/>
      <c r="AD490" s="90"/>
      <c r="AE490" s="90"/>
      <c r="AF490" s="90"/>
      <c r="AG490" s="90"/>
      <c r="AH490" s="90"/>
      <c r="AI490" s="90"/>
      <c r="AJ490" s="90"/>
      <c r="AK490" s="90"/>
      <c r="AL490" s="90"/>
      <c r="AM490" s="90"/>
      <c r="AN490" s="90"/>
      <c r="AO490" s="90"/>
      <c r="AP490" s="90"/>
      <c r="AQ490" s="90"/>
      <c r="AR490" s="90"/>
      <c r="AS490" s="90"/>
      <c r="AT490" s="90"/>
    </row>
    <row r="491" spans="18:46" s="54" customFormat="1" x14ac:dyDescent="0.25">
      <c r="R491" s="175"/>
      <c r="S491" s="175"/>
      <c r="T491" s="175"/>
      <c r="U491" s="90"/>
      <c r="V491" s="90"/>
      <c r="W491" s="90"/>
      <c r="X491" s="90"/>
      <c r="Y491" s="90"/>
      <c r="Z491" s="90"/>
      <c r="AA491" s="90"/>
      <c r="AB491" s="90"/>
      <c r="AC491" s="90"/>
      <c r="AD491" s="90"/>
      <c r="AE491" s="90"/>
      <c r="AF491" s="90"/>
      <c r="AG491" s="90"/>
      <c r="AH491" s="90"/>
      <c r="AI491" s="90"/>
      <c r="AJ491" s="90"/>
      <c r="AK491" s="90"/>
      <c r="AL491" s="90"/>
      <c r="AM491" s="90"/>
      <c r="AN491" s="90"/>
      <c r="AO491" s="90"/>
      <c r="AP491" s="90"/>
      <c r="AQ491" s="90"/>
      <c r="AR491" s="90"/>
      <c r="AS491" s="90"/>
      <c r="AT491" s="90"/>
    </row>
    <row r="492" spans="18:46" s="54" customFormat="1" x14ac:dyDescent="0.25">
      <c r="R492" s="175"/>
      <c r="S492" s="175"/>
      <c r="T492" s="175"/>
      <c r="U492" s="90"/>
      <c r="V492" s="90"/>
      <c r="W492" s="90"/>
      <c r="X492" s="90"/>
      <c r="Y492" s="90"/>
      <c r="Z492" s="90"/>
      <c r="AA492" s="90"/>
      <c r="AB492" s="90"/>
      <c r="AC492" s="90"/>
      <c r="AD492" s="90"/>
      <c r="AE492" s="90"/>
      <c r="AF492" s="90"/>
      <c r="AG492" s="90"/>
      <c r="AH492" s="90"/>
      <c r="AI492" s="90"/>
      <c r="AJ492" s="90"/>
      <c r="AK492" s="90"/>
      <c r="AL492" s="90"/>
      <c r="AM492" s="90"/>
      <c r="AN492" s="90"/>
      <c r="AO492" s="90"/>
      <c r="AP492" s="90"/>
      <c r="AQ492" s="90"/>
      <c r="AR492" s="90"/>
      <c r="AS492" s="90"/>
      <c r="AT492" s="90"/>
    </row>
    <row r="493" spans="18:46" s="54" customFormat="1" x14ac:dyDescent="0.25">
      <c r="R493" s="175"/>
      <c r="S493" s="175"/>
      <c r="T493" s="175"/>
      <c r="U493" s="90"/>
      <c r="V493" s="90"/>
      <c r="W493" s="90"/>
      <c r="X493" s="90"/>
      <c r="Y493" s="90"/>
      <c r="Z493" s="90"/>
      <c r="AA493" s="90"/>
      <c r="AB493" s="90"/>
      <c r="AC493" s="90"/>
      <c r="AD493" s="90"/>
      <c r="AE493" s="90"/>
      <c r="AF493" s="90"/>
      <c r="AG493" s="90"/>
      <c r="AH493" s="90"/>
      <c r="AI493" s="90"/>
      <c r="AJ493" s="90"/>
      <c r="AK493" s="90"/>
      <c r="AL493" s="90"/>
      <c r="AM493" s="90"/>
      <c r="AN493" s="90"/>
      <c r="AO493" s="90"/>
      <c r="AP493" s="90"/>
      <c r="AQ493" s="90"/>
      <c r="AR493" s="90"/>
      <c r="AS493" s="90"/>
      <c r="AT493" s="90"/>
    </row>
    <row r="494" spans="18:46" s="54" customFormat="1" x14ac:dyDescent="0.25">
      <c r="R494" s="175"/>
      <c r="S494" s="175"/>
      <c r="T494" s="175"/>
      <c r="U494" s="90"/>
      <c r="V494" s="90"/>
      <c r="W494" s="90"/>
      <c r="X494" s="90"/>
      <c r="Y494" s="90"/>
      <c r="Z494" s="90"/>
      <c r="AA494" s="90"/>
      <c r="AB494" s="90"/>
      <c r="AC494" s="90"/>
      <c r="AD494" s="90"/>
      <c r="AE494" s="90"/>
      <c r="AF494" s="90"/>
      <c r="AG494" s="90"/>
      <c r="AH494" s="90"/>
      <c r="AI494" s="90"/>
      <c r="AJ494" s="90"/>
      <c r="AK494" s="90"/>
      <c r="AL494" s="90"/>
      <c r="AM494" s="90"/>
      <c r="AN494" s="90"/>
      <c r="AO494" s="90"/>
      <c r="AP494" s="90"/>
      <c r="AQ494" s="90"/>
      <c r="AR494" s="90"/>
      <c r="AS494" s="90"/>
      <c r="AT494" s="90"/>
    </row>
    <row r="495" spans="18:46" s="54" customFormat="1" x14ac:dyDescent="0.25">
      <c r="R495" s="175"/>
      <c r="S495" s="175"/>
      <c r="T495" s="175"/>
      <c r="U495" s="90"/>
      <c r="V495" s="90"/>
      <c r="W495" s="90"/>
      <c r="X495" s="90"/>
      <c r="Y495" s="90"/>
      <c r="Z495" s="90"/>
      <c r="AA495" s="90"/>
      <c r="AB495" s="90"/>
      <c r="AC495" s="90"/>
      <c r="AD495" s="90"/>
      <c r="AE495" s="90"/>
      <c r="AF495" s="90"/>
      <c r="AG495" s="90"/>
      <c r="AH495" s="90"/>
      <c r="AI495" s="90"/>
      <c r="AJ495" s="90"/>
      <c r="AK495" s="90"/>
      <c r="AL495" s="90"/>
      <c r="AM495" s="90"/>
      <c r="AN495" s="90"/>
      <c r="AO495" s="90"/>
      <c r="AP495" s="90"/>
      <c r="AQ495" s="90"/>
      <c r="AR495" s="90"/>
      <c r="AS495" s="90"/>
      <c r="AT495" s="90"/>
    </row>
    <row r="496" spans="18:46" s="54" customFormat="1" x14ac:dyDescent="0.25">
      <c r="R496" s="175"/>
      <c r="S496" s="175"/>
      <c r="T496" s="175"/>
      <c r="U496" s="90"/>
      <c r="V496" s="90"/>
      <c r="W496" s="90"/>
      <c r="X496" s="90"/>
      <c r="Y496" s="90"/>
      <c r="Z496" s="90"/>
      <c r="AA496" s="90"/>
      <c r="AB496" s="90"/>
      <c r="AC496" s="90"/>
      <c r="AD496" s="90"/>
      <c r="AE496" s="90"/>
      <c r="AF496" s="90"/>
      <c r="AG496" s="90"/>
      <c r="AH496" s="90"/>
      <c r="AI496" s="90"/>
      <c r="AJ496" s="90"/>
      <c r="AK496" s="90"/>
      <c r="AL496" s="90"/>
      <c r="AM496" s="90"/>
      <c r="AN496" s="90"/>
      <c r="AO496" s="90"/>
      <c r="AP496" s="90"/>
      <c r="AQ496" s="90"/>
      <c r="AR496" s="90"/>
      <c r="AS496" s="90"/>
      <c r="AT496" s="90"/>
    </row>
    <row r="497" spans="18:46" s="54" customFormat="1" x14ac:dyDescent="0.25">
      <c r="R497" s="175"/>
      <c r="S497" s="175"/>
      <c r="T497" s="175"/>
      <c r="U497" s="90"/>
      <c r="V497" s="90"/>
      <c r="W497" s="90"/>
      <c r="X497" s="90"/>
      <c r="Y497" s="90"/>
      <c r="Z497" s="90"/>
      <c r="AA497" s="90"/>
      <c r="AB497" s="90"/>
      <c r="AC497" s="90"/>
      <c r="AD497" s="90"/>
      <c r="AE497" s="90"/>
      <c r="AF497" s="90"/>
      <c r="AG497" s="90"/>
      <c r="AH497" s="90"/>
      <c r="AI497" s="90"/>
      <c r="AJ497" s="90"/>
      <c r="AK497" s="90"/>
      <c r="AL497" s="90"/>
      <c r="AM497" s="90"/>
      <c r="AN497" s="90"/>
      <c r="AO497" s="90"/>
      <c r="AP497" s="90"/>
      <c r="AQ497" s="90"/>
      <c r="AR497" s="90"/>
      <c r="AS497" s="90"/>
      <c r="AT497" s="90"/>
    </row>
    <row r="498" spans="18:46" s="54" customFormat="1" x14ac:dyDescent="0.25">
      <c r="R498" s="175"/>
      <c r="S498" s="175"/>
      <c r="T498" s="175"/>
      <c r="U498" s="90"/>
      <c r="V498" s="90"/>
      <c r="W498" s="90"/>
      <c r="X498" s="90"/>
      <c r="Y498" s="90"/>
      <c r="Z498" s="90"/>
      <c r="AA498" s="90"/>
      <c r="AB498" s="90"/>
      <c r="AC498" s="90"/>
      <c r="AD498" s="90"/>
      <c r="AE498" s="90"/>
      <c r="AF498" s="90"/>
      <c r="AG498" s="90"/>
      <c r="AH498" s="90"/>
      <c r="AI498" s="90"/>
      <c r="AJ498" s="90"/>
      <c r="AK498" s="90"/>
      <c r="AL498" s="90"/>
      <c r="AM498" s="90"/>
      <c r="AN498" s="90"/>
      <c r="AO498" s="90"/>
      <c r="AP498" s="90"/>
      <c r="AQ498" s="90"/>
      <c r="AR498" s="90"/>
      <c r="AS498" s="90"/>
      <c r="AT498" s="90"/>
    </row>
  </sheetData>
  <autoFilter ref="A14:BO92" xr:uid="{AB78407E-75F4-4C8A-B0A9-65B3DE52A543}"/>
  <mergeCells count="16">
    <mergeCell ref="E95:I95"/>
    <mergeCell ref="M95:P95"/>
    <mergeCell ref="R13:T13"/>
    <mergeCell ref="A1:Q1"/>
    <mergeCell ref="A3:Q3"/>
    <mergeCell ref="A4:Q4"/>
    <mergeCell ref="A13:A14"/>
    <mergeCell ref="B13:B14"/>
    <mergeCell ref="C13:C14"/>
    <mergeCell ref="E13:E14"/>
    <mergeCell ref="F13:F14"/>
    <mergeCell ref="G13:G14"/>
    <mergeCell ref="H13:H14"/>
    <mergeCell ref="D13:D14"/>
    <mergeCell ref="I13:L13"/>
    <mergeCell ref="M13:Q13"/>
  </mergeCells>
  <conditionalFormatting sqref="C15:D16">
    <cfRule type="expression" priority="3" stopIfTrue="1">
      <formula>#REF!</formula>
    </cfRule>
  </conditionalFormatting>
  <conditionalFormatting sqref="C35:D36">
    <cfRule type="expression" priority="2" stopIfTrue="1">
      <formula>#REF!</formula>
    </cfRule>
  </conditionalFormatting>
  <conditionalFormatting sqref="C40:D41">
    <cfRule type="expression" priority="4" stopIfTrue="1">
      <formula>#REF!</formula>
    </cfRule>
  </conditionalFormatting>
  <conditionalFormatting sqref="C75:D75">
    <cfRule type="expression" priority="8" stopIfTrue="1">
      <formula>#REF!</formula>
    </cfRule>
  </conditionalFormatting>
  <conditionalFormatting sqref="C78:D80">
    <cfRule type="expression" priority="7" stopIfTrue="1">
      <formula>#REF!</formula>
    </cfRule>
  </conditionalFormatting>
  <conditionalFormatting sqref="C87:D87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94BDC-F695-4E53-BB59-0242E4E54F9E}">
  <sheetPr>
    <tabColor rgb="FF00B050"/>
    <pageSetUpPr fitToPage="1"/>
  </sheetPr>
  <dimension ref="A1:BO443"/>
  <sheetViews>
    <sheetView showZeros="0" topLeftCell="A7" zoomScale="90" zoomScaleNormal="90" workbookViewId="0">
      <selection activeCell="G36" sqref="G15:Q36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4" width="10.7109375" style="4" customWidth="1"/>
    <col min="5" max="8" width="8.28515625" style="4" customWidth="1"/>
    <col min="9" max="16" width="10.7109375" style="4" customWidth="1"/>
    <col min="17" max="17" width="13.28515625" style="4" customWidth="1"/>
    <col min="18" max="20" width="5.7109375" style="175" customWidth="1" outlineLevel="1"/>
    <col min="21" max="23" width="10.7109375" style="90" customWidth="1" outlineLevel="1"/>
    <col min="24" max="44" width="10.7109375" style="90" customWidth="1"/>
    <col min="45" max="46" width="8.85546875" style="90"/>
    <col min="47" max="67" width="8.85546875" style="54"/>
    <col min="68" max="16384" width="8.85546875" style="4"/>
  </cols>
  <sheetData>
    <row r="1" spans="1:20" ht="15" x14ac:dyDescent="0.2">
      <c r="A1" s="408" t="s">
        <v>384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</row>
    <row r="2" spans="1:20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0" ht="15" x14ac:dyDescent="0.2">
      <c r="A3" s="409" t="str">
        <f>Kopsavilkums!C32</f>
        <v>Elektroapgāde (ārējā) - ELT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</row>
    <row r="4" spans="1:20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</row>
    <row r="5" spans="1:20" x14ac:dyDescent="0.2">
      <c r="A5" s="5"/>
      <c r="B5" s="5"/>
      <c r="C5" s="5"/>
      <c r="D5" s="6"/>
      <c r="E5" s="6"/>
      <c r="F5" s="6"/>
      <c r="G5" s="6"/>
      <c r="H5" s="6"/>
      <c r="I5" s="7"/>
      <c r="J5" s="7"/>
      <c r="K5" s="7"/>
      <c r="L5" s="7"/>
      <c r="M5" s="7"/>
      <c r="N5" s="7"/>
      <c r="O5" s="7"/>
      <c r="P5" s="7"/>
      <c r="Q5" s="7"/>
    </row>
    <row r="6" spans="1:20" x14ac:dyDescent="0.2">
      <c r="A6" s="1" t="s">
        <v>64</v>
      </c>
      <c r="B6" s="8"/>
      <c r="C6" s="9"/>
      <c r="D6" s="10"/>
      <c r="E6" s="10"/>
      <c r="F6" s="5"/>
      <c r="G6" s="10"/>
      <c r="H6" s="10"/>
      <c r="I6" s="11"/>
      <c r="J6" s="11"/>
      <c r="K6" s="11"/>
      <c r="L6" s="11"/>
      <c r="M6" s="11"/>
      <c r="N6" s="11"/>
      <c r="O6" s="11"/>
      <c r="P6" s="11"/>
      <c r="Q6" s="11"/>
    </row>
    <row r="7" spans="1:20" x14ac:dyDescent="0.2">
      <c r="A7" s="1" t="s">
        <v>65</v>
      </c>
      <c r="B7" s="8"/>
      <c r="C7" s="12"/>
      <c r="D7" s="10"/>
      <c r="E7" s="10"/>
      <c r="F7" s="5"/>
      <c r="G7" s="10"/>
      <c r="H7" s="10"/>
      <c r="I7" s="11"/>
      <c r="J7" s="13"/>
      <c r="K7" s="11"/>
      <c r="L7" s="11"/>
      <c r="M7" s="11"/>
      <c r="N7" s="11"/>
      <c r="O7" s="11"/>
      <c r="P7" s="11"/>
      <c r="Q7" s="11"/>
    </row>
    <row r="8" spans="1:20" x14ac:dyDescent="0.2">
      <c r="A8" s="2" t="s">
        <v>66</v>
      </c>
      <c r="B8" s="8"/>
      <c r="C8" s="12"/>
      <c r="D8" s="10"/>
      <c r="E8" s="10"/>
      <c r="F8" s="5"/>
      <c r="G8" s="10"/>
      <c r="H8" s="10"/>
      <c r="I8" s="11"/>
      <c r="J8" s="13"/>
      <c r="K8" s="11"/>
      <c r="L8" s="11"/>
      <c r="M8" s="11"/>
      <c r="N8" s="11"/>
      <c r="O8" s="11"/>
      <c r="P8" s="11"/>
      <c r="Q8" s="11"/>
    </row>
    <row r="9" spans="1:20" x14ac:dyDescent="0.2">
      <c r="A9" s="1" t="s">
        <v>54</v>
      </c>
      <c r="B9" s="8"/>
      <c r="C9" s="8"/>
      <c r="D9" s="10"/>
      <c r="E9" s="10"/>
      <c r="F9" s="14"/>
      <c r="G9" s="10"/>
      <c r="H9" s="10"/>
      <c r="I9" s="5"/>
      <c r="J9" s="15"/>
      <c r="K9" s="5"/>
      <c r="L9" s="16"/>
      <c r="M9" s="11"/>
      <c r="N9" s="11"/>
      <c r="O9" s="11"/>
      <c r="P9" s="17" t="s">
        <v>0</v>
      </c>
      <c r="Q9" s="18">
        <f>Q37</f>
        <v>0</v>
      </c>
    </row>
    <row r="10" spans="1:20" ht="4.9000000000000004" customHeight="1" x14ac:dyDescent="0.2">
      <c r="A10" s="8"/>
      <c r="B10" s="8"/>
      <c r="C10" s="8"/>
      <c r="D10" s="10"/>
      <c r="E10" s="10"/>
      <c r="F10" s="10"/>
      <c r="G10" s="10"/>
      <c r="H10" s="10"/>
      <c r="I10" s="5"/>
      <c r="J10" s="15"/>
      <c r="K10" s="5"/>
      <c r="L10" s="19"/>
      <c r="M10" s="11"/>
      <c r="N10" s="11"/>
      <c r="O10" s="11"/>
      <c r="P10" s="11"/>
      <c r="Q10" s="11"/>
    </row>
    <row r="11" spans="1:20" x14ac:dyDescent="0.2">
      <c r="A11" s="107" t="s">
        <v>67</v>
      </c>
      <c r="B11" s="20"/>
      <c r="C11" s="21"/>
      <c r="D11" s="10"/>
      <c r="E11" s="10"/>
      <c r="F11" s="10"/>
      <c r="G11" s="10"/>
      <c r="H11" s="10"/>
      <c r="I11" s="11"/>
      <c r="J11" s="11"/>
      <c r="K11" s="11"/>
      <c r="L11" s="11"/>
      <c r="M11" s="11"/>
      <c r="N11" s="11"/>
      <c r="O11" s="11"/>
      <c r="P11" s="11"/>
      <c r="Q11" s="22" t="str">
        <f>Kopsavilkums!H$9</f>
        <v xml:space="preserve">Tāme sastādīta: </v>
      </c>
    </row>
    <row r="12" spans="1:20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3"/>
      <c r="I12" s="24"/>
      <c r="J12" s="24"/>
      <c r="K12" s="24"/>
      <c r="L12" s="24"/>
      <c r="M12" s="24"/>
      <c r="N12" s="24"/>
      <c r="O12" s="24"/>
      <c r="P12" s="24"/>
      <c r="Q12" s="24"/>
    </row>
    <row r="13" spans="1:20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47</v>
      </c>
      <c r="E13" s="416" t="s">
        <v>4</v>
      </c>
      <c r="F13" s="418" t="s">
        <v>5</v>
      </c>
      <c r="G13" s="412" t="s">
        <v>6</v>
      </c>
      <c r="H13" s="420" t="s">
        <v>19</v>
      </c>
      <c r="I13" s="404" t="s">
        <v>7</v>
      </c>
      <c r="J13" s="405"/>
      <c r="K13" s="405"/>
      <c r="L13" s="406"/>
      <c r="M13" s="405" t="s">
        <v>8</v>
      </c>
      <c r="N13" s="405"/>
      <c r="O13" s="405"/>
      <c r="P13" s="405"/>
      <c r="Q13" s="406"/>
      <c r="R13" s="403"/>
      <c r="S13" s="403"/>
      <c r="T13" s="403"/>
    </row>
    <row r="14" spans="1:20" ht="34.9" customHeight="1" thickBot="1" x14ac:dyDescent="0.25">
      <c r="A14" s="422"/>
      <c r="B14" s="423"/>
      <c r="C14" s="423"/>
      <c r="D14" s="424"/>
      <c r="E14" s="424"/>
      <c r="F14" s="425"/>
      <c r="G14" s="413"/>
      <c r="H14" s="421"/>
      <c r="I14" s="56" t="s">
        <v>17</v>
      </c>
      <c r="J14" s="60" t="s">
        <v>16</v>
      </c>
      <c r="K14" s="57" t="s">
        <v>15</v>
      </c>
      <c r="L14" s="58" t="s">
        <v>18</v>
      </c>
      <c r="M14" s="58" t="s">
        <v>9</v>
      </c>
      <c r="N14" s="56" t="s">
        <v>17</v>
      </c>
      <c r="O14" s="60" t="s">
        <v>16</v>
      </c>
      <c r="P14" s="57" t="s">
        <v>15</v>
      </c>
      <c r="Q14" s="59" t="s">
        <v>14</v>
      </c>
      <c r="R14" s="196"/>
      <c r="S14" s="196"/>
      <c r="T14" s="196"/>
    </row>
    <row r="15" spans="1:20" x14ac:dyDescent="0.2">
      <c r="A15" s="340"/>
      <c r="B15" s="198"/>
      <c r="C15" s="199" t="str">
        <f>A3</f>
        <v>Elektroapgāde (ārējā) - ELT</v>
      </c>
      <c r="D15" s="200"/>
      <c r="E15" s="201"/>
      <c r="F15" s="202"/>
      <c r="G15" s="119"/>
      <c r="H15" s="61"/>
      <c r="I15" s="26"/>
      <c r="J15" s="27"/>
      <c r="K15" s="27"/>
      <c r="L15" s="25"/>
      <c r="M15" s="25"/>
      <c r="N15" s="26"/>
      <c r="O15" s="27"/>
      <c r="P15" s="28"/>
      <c r="Q15" s="29"/>
    </row>
    <row r="16" spans="1:20" x14ac:dyDescent="0.2">
      <c r="A16" s="341">
        <v>1</v>
      </c>
      <c r="B16" s="121"/>
      <c r="C16" s="120" t="s">
        <v>131</v>
      </c>
      <c r="D16" s="287"/>
      <c r="E16" s="121" t="s">
        <v>44</v>
      </c>
      <c r="F16" s="126">
        <v>95</v>
      </c>
      <c r="G16" s="119"/>
      <c r="H16" s="61"/>
      <c r="I16" s="26"/>
      <c r="J16" s="27"/>
      <c r="K16" s="27"/>
      <c r="L16" s="25"/>
      <c r="M16" s="25"/>
      <c r="N16" s="26"/>
      <c r="O16" s="27"/>
      <c r="P16" s="28"/>
      <c r="Q16" s="29"/>
    </row>
    <row r="17" spans="1:17" x14ac:dyDescent="0.2">
      <c r="A17" s="341">
        <v>2</v>
      </c>
      <c r="B17" s="121"/>
      <c r="C17" s="287" t="s">
        <v>132</v>
      </c>
      <c r="D17" s="121"/>
      <c r="E17" s="121" t="s">
        <v>44</v>
      </c>
      <c r="F17" s="288">
        <v>38</v>
      </c>
      <c r="G17" s="119"/>
      <c r="H17" s="61"/>
      <c r="I17" s="26"/>
      <c r="J17" s="27"/>
      <c r="K17" s="27"/>
      <c r="L17" s="25"/>
      <c r="M17" s="25"/>
      <c r="N17" s="26"/>
      <c r="O17" s="27"/>
      <c r="P17" s="28"/>
      <c r="Q17" s="29"/>
    </row>
    <row r="18" spans="1:17" x14ac:dyDescent="0.2">
      <c r="A18" s="341">
        <v>3</v>
      </c>
      <c r="B18" s="121"/>
      <c r="C18" s="287" t="s">
        <v>133</v>
      </c>
      <c r="D18" s="287"/>
      <c r="E18" s="121" t="s">
        <v>44</v>
      </c>
      <c r="F18" s="288">
        <v>87</v>
      </c>
      <c r="G18" s="119"/>
      <c r="H18" s="61"/>
      <c r="I18" s="26"/>
      <c r="J18" s="27"/>
      <c r="K18" s="27"/>
      <c r="L18" s="25"/>
      <c r="M18" s="25"/>
      <c r="N18" s="26"/>
      <c r="O18" s="27"/>
      <c r="P18" s="28"/>
      <c r="Q18" s="29"/>
    </row>
    <row r="19" spans="1:17" x14ac:dyDescent="0.2">
      <c r="A19" s="341">
        <v>4</v>
      </c>
      <c r="B19" s="121"/>
      <c r="C19" s="287" t="s">
        <v>134</v>
      </c>
      <c r="D19" s="287"/>
      <c r="E19" s="121" t="s">
        <v>42</v>
      </c>
      <c r="F19" s="126">
        <v>3.9150000000000005</v>
      </c>
      <c r="G19" s="119"/>
      <c r="H19" s="61"/>
      <c r="I19" s="26"/>
      <c r="J19" s="27"/>
      <c r="K19" s="27"/>
      <c r="L19" s="25"/>
      <c r="M19" s="25"/>
      <c r="N19" s="26"/>
      <c r="O19" s="27"/>
      <c r="P19" s="28"/>
      <c r="Q19" s="29"/>
    </row>
    <row r="20" spans="1:17" x14ac:dyDescent="0.2">
      <c r="A20" s="341">
        <v>5</v>
      </c>
      <c r="B20" s="121"/>
      <c r="C20" s="120" t="s">
        <v>135</v>
      </c>
      <c r="D20" s="287"/>
      <c r="E20" s="121" t="s">
        <v>42</v>
      </c>
      <c r="F20" s="126">
        <v>3.9150000000000005</v>
      </c>
      <c r="G20" s="119"/>
      <c r="H20" s="61"/>
      <c r="I20" s="26"/>
      <c r="J20" s="27"/>
      <c r="K20" s="27"/>
      <c r="L20" s="25"/>
      <c r="M20" s="25"/>
      <c r="N20" s="26"/>
      <c r="O20" s="27"/>
      <c r="P20" s="28"/>
      <c r="Q20" s="29"/>
    </row>
    <row r="21" spans="1:17" x14ac:dyDescent="0.2">
      <c r="A21" s="341">
        <v>6</v>
      </c>
      <c r="B21" s="121"/>
      <c r="C21" s="120" t="s">
        <v>80</v>
      </c>
      <c r="D21" s="121"/>
      <c r="E21" s="121" t="s">
        <v>73</v>
      </c>
      <c r="F21" s="126">
        <v>1</v>
      </c>
      <c r="G21" s="119"/>
      <c r="H21" s="61"/>
      <c r="I21" s="26"/>
      <c r="J21" s="27"/>
      <c r="K21" s="27"/>
      <c r="L21" s="25"/>
      <c r="M21" s="25"/>
      <c r="N21" s="26"/>
      <c r="O21" s="27"/>
      <c r="P21" s="28"/>
      <c r="Q21" s="29"/>
    </row>
    <row r="22" spans="1:17" x14ac:dyDescent="0.2">
      <c r="A22" s="341"/>
      <c r="B22" s="121"/>
      <c r="C22" s="132" t="s">
        <v>136</v>
      </c>
      <c r="D22" s="287"/>
      <c r="E22" s="121"/>
      <c r="F22" s="126"/>
      <c r="G22" s="119"/>
      <c r="H22" s="61"/>
      <c r="I22" s="26"/>
      <c r="J22" s="27"/>
      <c r="K22" s="27"/>
      <c r="L22" s="25"/>
      <c r="M22" s="25"/>
      <c r="N22" s="26"/>
      <c r="O22" s="27"/>
      <c r="P22" s="28"/>
      <c r="Q22" s="29"/>
    </row>
    <row r="23" spans="1:17" x14ac:dyDescent="0.2">
      <c r="A23" s="341">
        <v>7</v>
      </c>
      <c r="B23" s="121"/>
      <c r="C23" s="287" t="s">
        <v>592</v>
      </c>
      <c r="D23" s="287"/>
      <c r="E23" s="121" t="s">
        <v>593</v>
      </c>
      <c r="F23" s="126">
        <v>1</v>
      </c>
      <c r="G23" s="119"/>
      <c r="H23" s="61"/>
      <c r="I23" s="26"/>
      <c r="J23" s="27"/>
      <c r="K23" s="27"/>
      <c r="L23" s="25"/>
      <c r="M23" s="25"/>
      <c r="N23" s="26"/>
      <c r="O23" s="27"/>
      <c r="P23" s="28"/>
      <c r="Q23" s="29"/>
    </row>
    <row r="24" spans="1:17" x14ac:dyDescent="0.2">
      <c r="A24" s="341">
        <v>8</v>
      </c>
      <c r="B24" s="121"/>
      <c r="C24" s="287" t="s">
        <v>594</v>
      </c>
      <c r="D24" s="287"/>
      <c r="E24" s="121" t="s">
        <v>593</v>
      </c>
      <c r="F24" s="126">
        <v>1</v>
      </c>
      <c r="G24" s="119"/>
      <c r="H24" s="61"/>
      <c r="I24" s="26"/>
      <c r="J24" s="27"/>
      <c r="K24" s="27"/>
      <c r="L24" s="25"/>
      <c r="M24" s="25"/>
      <c r="N24" s="26"/>
      <c r="O24" s="27"/>
      <c r="P24" s="28"/>
      <c r="Q24" s="29"/>
    </row>
    <row r="25" spans="1:17" x14ac:dyDescent="0.2">
      <c r="A25" s="341">
        <v>9</v>
      </c>
      <c r="B25" s="121"/>
      <c r="C25" s="287" t="s">
        <v>595</v>
      </c>
      <c r="D25" s="287"/>
      <c r="E25" s="121" t="s">
        <v>593</v>
      </c>
      <c r="F25" s="126">
        <v>1</v>
      </c>
      <c r="G25" s="119"/>
      <c r="H25" s="61"/>
      <c r="I25" s="26"/>
      <c r="J25" s="27"/>
      <c r="K25" s="27"/>
      <c r="L25" s="25"/>
      <c r="M25" s="25"/>
      <c r="N25" s="26"/>
      <c r="O25" s="27"/>
      <c r="P25" s="28"/>
      <c r="Q25" s="29"/>
    </row>
    <row r="26" spans="1:17" ht="22.5" x14ac:dyDescent="0.2">
      <c r="A26" s="341">
        <v>10</v>
      </c>
      <c r="B26" s="121"/>
      <c r="C26" s="287" t="s">
        <v>137</v>
      </c>
      <c r="D26" s="287"/>
      <c r="E26" s="121" t="s">
        <v>44</v>
      </c>
      <c r="F26" s="126">
        <v>87</v>
      </c>
      <c r="G26" s="119"/>
      <c r="H26" s="61"/>
      <c r="I26" s="26"/>
      <c r="J26" s="27"/>
      <c r="K26" s="27"/>
      <c r="L26" s="25"/>
      <c r="M26" s="25"/>
      <c r="N26" s="26"/>
      <c r="O26" s="27"/>
      <c r="P26" s="28"/>
      <c r="Q26" s="29"/>
    </row>
    <row r="27" spans="1:17" ht="22.5" x14ac:dyDescent="0.2">
      <c r="A27" s="341">
        <v>11</v>
      </c>
      <c r="B27" s="121"/>
      <c r="C27" s="287" t="s">
        <v>138</v>
      </c>
      <c r="D27" s="287"/>
      <c r="E27" s="121" t="s">
        <v>44</v>
      </c>
      <c r="F27" s="126">
        <v>200</v>
      </c>
      <c r="G27" s="119"/>
      <c r="H27" s="61"/>
      <c r="I27" s="26"/>
      <c r="J27" s="27"/>
      <c r="K27" s="27"/>
      <c r="L27" s="25"/>
      <c r="M27" s="25"/>
      <c r="N27" s="26"/>
      <c r="O27" s="27"/>
      <c r="P27" s="28"/>
      <c r="Q27" s="29"/>
    </row>
    <row r="28" spans="1:17" ht="22.5" x14ac:dyDescent="0.2">
      <c r="A28" s="341">
        <v>12</v>
      </c>
      <c r="B28" s="121"/>
      <c r="C28" s="287" t="s">
        <v>139</v>
      </c>
      <c r="D28" s="287"/>
      <c r="E28" s="121" t="s">
        <v>44</v>
      </c>
      <c r="F28" s="126">
        <v>38</v>
      </c>
      <c r="G28" s="119"/>
      <c r="H28" s="61"/>
      <c r="I28" s="26"/>
      <c r="J28" s="27"/>
      <c r="K28" s="27"/>
      <c r="L28" s="25"/>
      <c r="M28" s="25"/>
      <c r="N28" s="26"/>
      <c r="O28" s="27"/>
      <c r="P28" s="28"/>
      <c r="Q28" s="29"/>
    </row>
    <row r="29" spans="1:17" x14ac:dyDescent="0.2">
      <c r="A29" s="341">
        <v>13</v>
      </c>
      <c r="B29" s="121"/>
      <c r="C29" s="287" t="s">
        <v>140</v>
      </c>
      <c r="D29" s="287"/>
      <c r="E29" s="121" t="s">
        <v>44</v>
      </c>
      <c r="F29" s="126">
        <v>87</v>
      </c>
      <c r="G29" s="119"/>
      <c r="H29" s="61"/>
      <c r="I29" s="26"/>
      <c r="J29" s="27"/>
      <c r="K29" s="27"/>
      <c r="L29" s="25"/>
      <c r="M29" s="25"/>
      <c r="N29" s="26"/>
      <c r="O29" s="27"/>
      <c r="P29" s="28"/>
      <c r="Q29" s="29"/>
    </row>
    <row r="30" spans="1:17" x14ac:dyDescent="0.2">
      <c r="A30" s="341">
        <v>14</v>
      </c>
      <c r="B30" s="121"/>
      <c r="C30" s="287" t="s">
        <v>141</v>
      </c>
      <c r="D30" s="287"/>
      <c r="E30" s="121" t="s">
        <v>44</v>
      </c>
      <c r="F30" s="126">
        <v>38</v>
      </c>
      <c r="G30" s="119"/>
      <c r="H30" s="61"/>
      <c r="I30" s="26"/>
      <c r="J30" s="27"/>
      <c r="K30" s="27"/>
      <c r="L30" s="25"/>
      <c r="M30" s="25"/>
      <c r="N30" s="26"/>
      <c r="O30" s="27"/>
      <c r="P30" s="28"/>
      <c r="Q30" s="29"/>
    </row>
    <row r="31" spans="1:17" x14ac:dyDescent="0.2">
      <c r="A31" s="341">
        <v>15</v>
      </c>
      <c r="B31" s="121"/>
      <c r="C31" s="287" t="s">
        <v>142</v>
      </c>
      <c r="D31" s="287"/>
      <c r="E31" s="121" t="s">
        <v>143</v>
      </c>
      <c r="F31" s="126">
        <v>1</v>
      </c>
      <c r="G31" s="119"/>
      <c r="H31" s="61"/>
      <c r="I31" s="26"/>
      <c r="J31" s="27"/>
      <c r="K31" s="27"/>
      <c r="L31" s="25"/>
      <c r="M31" s="25"/>
      <c r="N31" s="26"/>
      <c r="O31" s="27"/>
      <c r="P31" s="28"/>
      <c r="Q31" s="29"/>
    </row>
    <row r="32" spans="1:17" ht="22.5" x14ac:dyDescent="0.2">
      <c r="A32" s="341">
        <v>16</v>
      </c>
      <c r="B32" s="121"/>
      <c r="C32" s="287" t="s">
        <v>144</v>
      </c>
      <c r="D32" s="287"/>
      <c r="E32" s="121" t="s">
        <v>143</v>
      </c>
      <c r="F32" s="126">
        <v>1</v>
      </c>
      <c r="G32" s="119"/>
      <c r="H32" s="61"/>
      <c r="I32" s="26"/>
      <c r="J32" s="27"/>
      <c r="K32" s="27"/>
      <c r="L32" s="25"/>
      <c r="M32" s="25"/>
      <c r="N32" s="26"/>
      <c r="O32" s="27"/>
      <c r="P32" s="28"/>
      <c r="Q32" s="29"/>
    </row>
    <row r="33" spans="1:46" x14ac:dyDescent="0.2">
      <c r="A33" s="341">
        <v>17</v>
      </c>
      <c r="B33" s="121"/>
      <c r="C33" s="287" t="s">
        <v>145</v>
      </c>
      <c r="D33" s="287"/>
      <c r="E33" s="121" t="s">
        <v>143</v>
      </c>
      <c r="F33" s="126">
        <v>1</v>
      </c>
      <c r="G33" s="119"/>
      <c r="H33" s="61"/>
      <c r="I33" s="26"/>
      <c r="J33" s="27"/>
      <c r="K33" s="27"/>
      <c r="L33" s="25"/>
      <c r="M33" s="25"/>
      <c r="N33" s="26"/>
      <c r="O33" s="27"/>
      <c r="P33" s="28"/>
      <c r="Q33" s="29"/>
    </row>
    <row r="34" spans="1:46" x14ac:dyDescent="0.2">
      <c r="A34" s="341">
        <v>18</v>
      </c>
      <c r="B34" s="121"/>
      <c r="C34" s="287" t="s">
        <v>146</v>
      </c>
      <c r="D34" s="287"/>
      <c r="E34" s="121" t="s">
        <v>143</v>
      </c>
      <c r="F34" s="126">
        <v>1</v>
      </c>
      <c r="G34" s="119"/>
      <c r="H34" s="61"/>
      <c r="I34" s="26"/>
      <c r="J34" s="27"/>
      <c r="K34" s="27"/>
      <c r="L34" s="25"/>
      <c r="M34" s="25"/>
      <c r="N34" s="26"/>
      <c r="O34" s="27"/>
      <c r="P34" s="28"/>
      <c r="Q34" s="29"/>
    </row>
    <row r="35" spans="1:46" ht="22.5" x14ac:dyDescent="0.2">
      <c r="A35" s="341">
        <v>19</v>
      </c>
      <c r="B35" s="121"/>
      <c r="C35" s="120" t="s">
        <v>147</v>
      </c>
      <c r="D35" s="120"/>
      <c r="E35" s="121" t="s">
        <v>143</v>
      </c>
      <c r="F35" s="126">
        <v>1</v>
      </c>
      <c r="G35" s="119"/>
      <c r="H35" s="61"/>
      <c r="I35" s="26"/>
      <c r="J35" s="27"/>
      <c r="K35" s="27"/>
      <c r="L35" s="25"/>
      <c r="M35" s="25"/>
      <c r="N35" s="26"/>
      <c r="O35" s="27"/>
      <c r="P35" s="28"/>
      <c r="Q35" s="29"/>
    </row>
    <row r="36" spans="1:46" ht="15" thickBot="1" x14ac:dyDescent="0.25">
      <c r="A36" s="344">
        <v>20</v>
      </c>
      <c r="B36" s="289"/>
      <c r="C36" s="290" t="s">
        <v>80</v>
      </c>
      <c r="D36" s="289"/>
      <c r="E36" s="289" t="s">
        <v>73</v>
      </c>
      <c r="F36" s="291">
        <v>1</v>
      </c>
      <c r="G36" s="292"/>
      <c r="H36" s="293"/>
      <c r="I36" s="294"/>
      <c r="J36" s="295"/>
      <c r="K36" s="295"/>
      <c r="L36" s="296"/>
      <c r="M36" s="296"/>
      <c r="N36" s="294"/>
      <c r="O36" s="295"/>
      <c r="P36" s="297"/>
      <c r="Q36" s="298"/>
    </row>
    <row r="37" spans="1:46" ht="15" customHeight="1" thickBo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2" t="s">
        <v>130</v>
      </c>
      <c r="M37" s="33">
        <f>ROUND(SUM(M15:M36),2)</f>
        <v>0</v>
      </c>
      <c r="N37" s="33">
        <f>ROUND(SUM(N15:N36),2)</f>
        <v>0</v>
      </c>
      <c r="O37" s="34">
        <f>ROUND(SUM(O15:O36),2)</f>
        <v>0</v>
      </c>
      <c r="P37" s="35">
        <f>ROUND(SUM(P15:P36),2)</f>
        <v>0</v>
      </c>
      <c r="Q37" s="36">
        <f>ROUND(SUM(Q15:Q36),2)</f>
        <v>0</v>
      </c>
    </row>
    <row r="38" spans="1:46" ht="34.9" customHeight="1" x14ac:dyDescent="0.2">
      <c r="A38" s="37"/>
      <c r="B38" s="7"/>
      <c r="C38" s="38"/>
      <c r="D38" s="39"/>
      <c r="E38" s="39"/>
      <c r="F38" s="5"/>
      <c r="G38" s="5"/>
      <c r="H38" s="5"/>
      <c r="I38" s="7"/>
      <c r="J38" s="7"/>
      <c r="K38" s="7"/>
      <c r="L38" s="7"/>
      <c r="M38" s="7"/>
      <c r="N38" s="7"/>
      <c r="O38" s="7"/>
      <c r="P38" s="7"/>
      <c r="Q38" s="7"/>
    </row>
    <row r="39" spans="1:46" x14ac:dyDescent="0.2">
      <c r="A39" s="40"/>
      <c r="B39" s="41"/>
      <c r="C39" s="41" t="s">
        <v>10</v>
      </c>
      <c r="D39" s="42"/>
      <c r="E39" s="42"/>
      <c r="F39" s="43"/>
      <c r="G39" s="44"/>
      <c r="H39" s="42"/>
      <c r="I39" s="45">
        <f>Kopsavilkums!C$43</f>
        <v>0</v>
      </c>
      <c r="J39" s="46" t="str">
        <f>Kopsavilkums!D$43</f>
        <v>datums</v>
      </c>
      <c r="K39" s="46"/>
      <c r="L39" s="41" t="s">
        <v>11</v>
      </c>
      <c r="M39" s="47"/>
      <c r="N39" s="44"/>
      <c r="O39" s="44"/>
      <c r="P39" s="45">
        <f>Kopsavilkums!C$48</f>
        <v>0</v>
      </c>
      <c r="Q39" s="46" t="str">
        <f>Kopsavilkums!D$48</f>
        <v>datums</v>
      </c>
    </row>
    <row r="40" spans="1:46" x14ac:dyDescent="0.2">
      <c r="A40" s="48"/>
      <c r="B40" s="49"/>
      <c r="C40" s="50"/>
      <c r="D40" s="50"/>
      <c r="E40" s="407" t="s">
        <v>12</v>
      </c>
      <c r="F40" s="407"/>
      <c r="G40" s="407"/>
      <c r="H40" s="407"/>
      <c r="I40" s="407"/>
      <c r="J40" s="7"/>
      <c r="K40" s="7"/>
      <c r="L40" s="7"/>
      <c r="M40" s="407" t="s">
        <v>12</v>
      </c>
      <c r="N40" s="407"/>
      <c r="O40" s="407"/>
      <c r="P40" s="407"/>
      <c r="Q40" s="7"/>
    </row>
    <row r="41" spans="1:46" x14ac:dyDescent="0.2">
      <c r="A41" s="37"/>
      <c r="B41" s="7"/>
      <c r="C41" s="38"/>
      <c r="D41" s="5"/>
      <c r="E41" s="5"/>
      <c r="F41" s="5"/>
      <c r="G41" s="5"/>
      <c r="H41" s="5"/>
      <c r="I41" s="7"/>
      <c r="J41" s="7"/>
      <c r="K41" s="7"/>
      <c r="L41" s="7"/>
      <c r="M41" s="7"/>
      <c r="N41" s="7"/>
      <c r="O41" s="7"/>
      <c r="P41" s="7"/>
      <c r="Q41" s="7"/>
    </row>
    <row r="42" spans="1:46" x14ac:dyDescent="0.2">
      <c r="A42" s="51"/>
      <c r="B42" s="46"/>
      <c r="C42" s="52"/>
      <c r="D42" s="52">
        <f>Kopsavilkums!A$46</f>
        <v>0</v>
      </c>
      <c r="E42" s="52" t="str">
        <f>Kopsavilkums!B$46</f>
        <v>-</v>
      </c>
      <c r="F42" s="5"/>
      <c r="G42" s="5"/>
      <c r="H42" s="5"/>
      <c r="I42" s="7"/>
      <c r="J42" s="7"/>
      <c r="K42" s="7"/>
      <c r="L42" s="7"/>
      <c r="M42" s="52" t="str">
        <f>Kopsavilkums!B$51</f>
        <v>Sert.Nr.</v>
      </c>
      <c r="N42" s="53"/>
      <c r="O42" s="7"/>
      <c r="P42" s="7"/>
      <c r="Q42" s="7"/>
    </row>
    <row r="43" spans="1:46" s="54" customFormat="1" x14ac:dyDescent="0.25">
      <c r="R43" s="175"/>
      <c r="S43" s="175"/>
      <c r="T43" s="175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</row>
    <row r="44" spans="1:46" s="54" customFormat="1" x14ac:dyDescent="0.25">
      <c r="R44" s="175"/>
      <c r="S44" s="175"/>
      <c r="T44" s="175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</row>
    <row r="45" spans="1:46" s="54" customFormat="1" x14ac:dyDescent="0.25">
      <c r="R45" s="175"/>
      <c r="S45" s="175"/>
      <c r="T45" s="175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</row>
    <row r="46" spans="1:46" s="54" customFormat="1" x14ac:dyDescent="0.25">
      <c r="R46" s="175"/>
      <c r="S46" s="175"/>
      <c r="T46" s="175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</row>
    <row r="47" spans="1:46" s="54" customFormat="1" x14ac:dyDescent="0.25">
      <c r="R47" s="175"/>
      <c r="S47" s="175"/>
      <c r="T47" s="175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</row>
    <row r="48" spans="1:46" s="54" customFormat="1" x14ac:dyDescent="0.25">
      <c r="R48" s="175"/>
      <c r="S48" s="175"/>
      <c r="T48" s="175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</row>
    <row r="49" spans="18:46" s="54" customFormat="1" x14ac:dyDescent="0.25">
      <c r="R49" s="175"/>
      <c r="S49" s="175"/>
      <c r="T49" s="175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</row>
    <row r="50" spans="18:46" s="54" customFormat="1" x14ac:dyDescent="0.25">
      <c r="R50" s="175"/>
      <c r="S50" s="175"/>
      <c r="T50" s="175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</row>
    <row r="51" spans="18:46" s="54" customFormat="1" x14ac:dyDescent="0.25">
      <c r="R51" s="175"/>
      <c r="S51" s="175"/>
      <c r="T51" s="175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</row>
    <row r="52" spans="18:46" s="54" customFormat="1" x14ac:dyDescent="0.25">
      <c r="R52" s="175"/>
      <c r="S52" s="175"/>
      <c r="T52" s="175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</row>
    <row r="53" spans="18:46" s="54" customFormat="1" x14ac:dyDescent="0.25">
      <c r="R53" s="175"/>
      <c r="S53" s="175"/>
      <c r="T53" s="175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</row>
    <row r="54" spans="18:46" s="54" customFormat="1" x14ac:dyDescent="0.25">
      <c r="R54" s="175"/>
      <c r="S54" s="175"/>
      <c r="T54" s="175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</row>
    <row r="55" spans="18:46" s="54" customFormat="1" x14ac:dyDescent="0.25">
      <c r="R55" s="175"/>
      <c r="S55" s="175"/>
      <c r="T55" s="175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</row>
    <row r="56" spans="18:46" s="54" customFormat="1" x14ac:dyDescent="0.25">
      <c r="R56" s="175"/>
      <c r="S56" s="175"/>
      <c r="T56" s="175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</row>
    <row r="57" spans="18:46" s="54" customFormat="1" x14ac:dyDescent="0.25">
      <c r="R57" s="175"/>
      <c r="S57" s="175"/>
      <c r="T57" s="175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</row>
    <row r="58" spans="18:46" s="54" customFormat="1" x14ac:dyDescent="0.25">
      <c r="R58" s="175"/>
      <c r="S58" s="175"/>
      <c r="T58" s="175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</row>
    <row r="59" spans="18:46" s="54" customFormat="1" x14ac:dyDescent="0.25">
      <c r="R59" s="175"/>
      <c r="S59" s="175"/>
      <c r="T59" s="175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</row>
    <row r="60" spans="18:46" s="54" customFormat="1" x14ac:dyDescent="0.25">
      <c r="R60" s="175"/>
      <c r="S60" s="175"/>
      <c r="T60" s="175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</row>
    <row r="61" spans="18:46" s="54" customFormat="1" x14ac:dyDescent="0.25">
      <c r="R61" s="175"/>
      <c r="S61" s="175"/>
      <c r="T61" s="175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</row>
    <row r="62" spans="18:46" s="54" customFormat="1" x14ac:dyDescent="0.25">
      <c r="R62" s="175"/>
      <c r="S62" s="175"/>
      <c r="T62" s="175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</row>
    <row r="63" spans="18:46" s="54" customFormat="1" x14ac:dyDescent="0.25">
      <c r="R63" s="175"/>
      <c r="S63" s="175"/>
      <c r="T63" s="175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</row>
    <row r="64" spans="18:46" s="54" customFormat="1" x14ac:dyDescent="0.25">
      <c r="R64" s="175"/>
      <c r="S64" s="175"/>
      <c r="T64" s="175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</row>
    <row r="65" spans="18:46" s="54" customFormat="1" x14ac:dyDescent="0.25">
      <c r="R65" s="175"/>
      <c r="S65" s="175"/>
      <c r="T65" s="175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</row>
    <row r="66" spans="18:46" s="54" customFormat="1" x14ac:dyDescent="0.25">
      <c r="R66" s="175"/>
      <c r="S66" s="175"/>
      <c r="T66" s="175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</row>
    <row r="67" spans="18:46" s="54" customFormat="1" x14ac:dyDescent="0.25">
      <c r="R67" s="175"/>
      <c r="S67" s="175"/>
      <c r="T67" s="175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</row>
    <row r="68" spans="18:46" s="54" customFormat="1" x14ac:dyDescent="0.25">
      <c r="R68" s="175"/>
      <c r="S68" s="175"/>
      <c r="T68" s="175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</row>
    <row r="69" spans="18:46" s="54" customFormat="1" x14ac:dyDescent="0.25">
      <c r="R69" s="175"/>
      <c r="S69" s="175"/>
      <c r="T69" s="175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</row>
    <row r="70" spans="18:46" s="54" customFormat="1" x14ac:dyDescent="0.25">
      <c r="R70" s="175"/>
      <c r="S70" s="175"/>
      <c r="T70" s="175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</row>
    <row r="71" spans="18:46" s="54" customFormat="1" x14ac:dyDescent="0.25">
      <c r="R71" s="175"/>
      <c r="S71" s="175"/>
      <c r="T71" s="175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</row>
    <row r="72" spans="18:46" s="54" customFormat="1" x14ac:dyDescent="0.25">
      <c r="R72" s="175"/>
      <c r="S72" s="175"/>
      <c r="T72" s="175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</row>
    <row r="73" spans="18:46" s="54" customFormat="1" x14ac:dyDescent="0.25">
      <c r="R73" s="175"/>
      <c r="S73" s="175"/>
      <c r="T73" s="175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</row>
    <row r="74" spans="18:46" s="54" customFormat="1" x14ac:dyDescent="0.25">
      <c r="R74" s="175"/>
      <c r="S74" s="175"/>
      <c r="T74" s="175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</row>
    <row r="75" spans="18:46" s="54" customFormat="1" x14ac:dyDescent="0.25">
      <c r="R75" s="175"/>
      <c r="S75" s="175"/>
      <c r="T75" s="175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</row>
    <row r="76" spans="18:46" s="54" customFormat="1" x14ac:dyDescent="0.25">
      <c r="R76" s="175"/>
      <c r="S76" s="175"/>
      <c r="T76" s="175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</row>
    <row r="77" spans="18:46" s="54" customFormat="1" x14ac:dyDescent="0.25">
      <c r="R77" s="175"/>
      <c r="S77" s="175"/>
      <c r="T77" s="175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</row>
    <row r="78" spans="18:46" s="54" customFormat="1" x14ac:dyDescent="0.25">
      <c r="R78" s="175"/>
      <c r="S78" s="175"/>
      <c r="T78" s="175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  <c r="AT78" s="90"/>
    </row>
    <row r="79" spans="18:46" s="54" customFormat="1" x14ac:dyDescent="0.25">
      <c r="R79" s="175"/>
      <c r="S79" s="175"/>
      <c r="T79" s="175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</row>
    <row r="80" spans="18:46" s="54" customFormat="1" x14ac:dyDescent="0.25">
      <c r="R80" s="175"/>
      <c r="S80" s="175"/>
      <c r="T80" s="175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</row>
    <row r="81" spans="18:46" s="54" customFormat="1" x14ac:dyDescent="0.25">
      <c r="R81" s="175"/>
      <c r="S81" s="175"/>
      <c r="T81" s="175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</row>
    <row r="82" spans="18:46" s="54" customFormat="1" x14ac:dyDescent="0.25">
      <c r="R82" s="175"/>
      <c r="S82" s="175"/>
      <c r="T82" s="175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</row>
    <row r="83" spans="18:46" s="54" customFormat="1" x14ac:dyDescent="0.25">
      <c r="R83" s="175"/>
      <c r="S83" s="175"/>
      <c r="T83" s="175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</row>
    <row r="84" spans="18:46" s="54" customFormat="1" x14ac:dyDescent="0.25">
      <c r="R84" s="175"/>
      <c r="S84" s="175"/>
      <c r="T84" s="175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</row>
    <row r="85" spans="18:46" s="54" customFormat="1" x14ac:dyDescent="0.25">
      <c r="R85" s="175"/>
      <c r="S85" s="175"/>
      <c r="T85" s="175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90"/>
    </row>
    <row r="86" spans="18:46" s="54" customFormat="1" x14ac:dyDescent="0.25">
      <c r="R86" s="175"/>
      <c r="S86" s="175"/>
      <c r="T86" s="175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  <c r="AT86" s="90"/>
    </row>
    <row r="87" spans="18:46" s="54" customFormat="1" x14ac:dyDescent="0.25">
      <c r="R87" s="175"/>
      <c r="S87" s="175"/>
      <c r="T87" s="175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</row>
    <row r="88" spans="18:46" s="54" customFormat="1" x14ac:dyDescent="0.25">
      <c r="R88" s="175"/>
      <c r="S88" s="175"/>
      <c r="T88" s="175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</row>
    <row r="89" spans="18:46" s="54" customFormat="1" x14ac:dyDescent="0.25">
      <c r="R89" s="175"/>
      <c r="S89" s="175"/>
      <c r="T89" s="175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</row>
    <row r="90" spans="18:46" s="54" customFormat="1" x14ac:dyDescent="0.25">
      <c r="R90" s="175"/>
      <c r="S90" s="175"/>
      <c r="T90" s="175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</row>
    <row r="91" spans="18:46" s="54" customFormat="1" x14ac:dyDescent="0.25">
      <c r="R91" s="175"/>
      <c r="S91" s="175"/>
      <c r="T91" s="175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</row>
    <row r="92" spans="18:46" s="54" customFormat="1" x14ac:dyDescent="0.25">
      <c r="R92" s="175"/>
      <c r="S92" s="175"/>
      <c r="T92" s="175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</row>
    <row r="93" spans="18:46" s="54" customFormat="1" x14ac:dyDescent="0.25">
      <c r="R93" s="175"/>
      <c r="S93" s="175"/>
      <c r="T93" s="175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</row>
    <row r="94" spans="18:46" s="54" customFormat="1" x14ac:dyDescent="0.25">
      <c r="R94" s="175"/>
      <c r="S94" s="175"/>
      <c r="T94" s="175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</row>
    <row r="95" spans="18:46" s="54" customFormat="1" x14ac:dyDescent="0.25">
      <c r="R95" s="175"/>
      <c r="S95" s="175"/>
      <c r="T95" s="175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</row>
    <row r="96" spans="18:46" s="54" customFormat="1" x14ac:dyDescent="0.25">
      <c r="R96" s="175"/>
      <c r="S96" s="175"/>
      <c r="T96" s="175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</row>
    <row r="97" spans="18:46" s="54" customFormat="1" x14ac:dyDescent="0.25">
      <c r="R97" s="175"/>
      <c r="S97" s="175"/>
      <c r="T97" s="175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</row>
    <row r="98" spans="18:46" s="54" customFormat="1" x14ac:dyDescent="0.25">
      <c r="R98" s="175"/>
      <c r="S98" s="175"/>
      <c r="T98" s="175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</row>
    <row r="99" spans="18:46" s="54" customFormat="1" x14ac:dyDescent="0.25">
      <c r="R99" s="175"/>
      <c r="S99" s="175"/>
      <c r="T99" s="175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</row>
    <row r="100" spans="18:46" s="54" customFormat="1" x14ac:dyDescent="0.25">
      <c r="R100" s="175"/>
      <c r="S100" s="175"/>
      <c r="T100" s="175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</row>
    <row r="101" spans="18:46" s="54" customFormat="1" x14ac:dyDescent="0.25">
      <c r="R101" s="175"/>
      <c r="S101" s="175"/>
      <c r="T101" s="175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</row>
    <row r="102" spans="18:46" s="54" customFormat="1" x14ac:dyDescent="0.25">
      <c r="R102" s="175"/>
      <c r="S102" s="175"/>
      <c r="T102" s="175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</row>
    <row r="103" spans="18:46" s="54" customFormat="1" x14ac:dyDescent="0.25">
      <c r="R103" s="175"/>
      <c r="S103" s="175"/>
      <c r="T103" s="175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</row>
    <row r="104" spans="18:46" s="54" customFormat="1" x14ac:dyDescent="0.25">
      <c r="R104" s="175"/>
      <c r="S104" s="175"/>
      <c r="T104" s="175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</row>
    <row r="105" spans="18:46" s="54" customFormat="1" x14ac:dyDescent="0.25">
      <c r="R105" s="175"/>
      <c r="S105" s="175"/>
      <c r="T105" s="175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</row>
    <row r="106" spans="18:46" s="54" customFormat="1" x14ac:dyDescent="0.25">
      <c r="R106" s="175"/>
      <c r="S106" s="175"/>
      <c r="T106" s="175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</row>
    <row r="107" spans="18:46" s="54" customFormat="1" x14ac:dyDescent="0.25">
      <c r="R107" s="175"/>
      <c r="S107" s="175"/>
      <c r="T107" s="175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</row>
    <row r="108" spans="18:46" s="54" customFormat="1" x14ac:dyDescent="0.25">
      <c r="R108" s="175"/>
      <c r="S108" s="175"/>
      <c r="T108" s="175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</row>
    <row r="109" spans="18:46" s="54" customFormat="1" x14ac:dyDescent="0.25">
      <c r="R109" s="175"/>
      <c r="S109" s="175"/>
      <c r="T109" s="175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</row>
    <row r="110" spans="18:46" s="54" customFormat="1" x14ac:dyDescent="0.25">
      <c r="R110" s="175"/>
      <c r="S110" s="175"/>
      <c r="T110" s="175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</row>
    <row r="111" spans="18:46" s="54" customFormat="1" x14ac:dyDescent="0.25">
      <c r="R111" s="175"/>
      <c r="S111" s="175"/>
      <c r="T111" s="175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</row>
    <row r="112" spans="18:46" s="54" customFormat="1" x14ac:dyDescent="0.25">
      <c r="R112" s="175"/>
      <c r="S112" s="175"/>
      <c r="T112" s="175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</row>
    <row r="113" spans="18:46" s="54" customFormat="1" x14ac:dyDescent="0.25">
      <c r="R113" s="175"/>
      <c r="S113" s="175"/>
      <c r="T113" s="175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</row>
    <row r="114" spans="18:46" s="54" customFormat="1" x14ac:dyDescent="0.25">
      <c r="R114" s="175"/>
      <c r="S114" s="175"/>
      <c r="T114" s="175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</row>
    <row r="115" spans="18:46" s="54" customFormat="1" x14ac:dyDescent="0.25">
      <c r="R115" s="175"/>
      <c r="S115" s="175"/>
      <c r="T115" s="175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</row>
    <row r="116" spans="18:46" s="54" customFormat="1" x14ac:dyDescent="0.25">
      <c r="R116" s="175"/>
      <c r="S116" s="175"/>
      <c r="T116" s="175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</row>
    <row r="117" spans="18:46" s="54" customFormat="1" x14ac:dyDescent="0.25">
      <c r="R117" s="175"/>
      <c r="S117" s="175"/>
      <c r="T117" s="175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</row>
    <row r="118" spans="18:46" s="54" customFormat="1" x14ac:dyDescent="0.25">
      <c r="R118" s="175"/>
      <c r="S118" s="175"/>
      <c r="T118" s="175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</row>
    <row r="119" spans="18:46" s="54" customFormat="1" x14ac:dyDescent="0.25">
      <c r="R119" s="175"/>
      <c r="S119" s="175"/>
      <c r="T119" s="175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</row>
    <row r="120" spans="18:46" s="54" customFormat="1" x14ac:dyDescent="0.25">
      <c r="R120" s="175"/>
      <c r="S120" s="175"/>
      <c r="T120" s="175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</row>
    <row r="121" spans="18:46" s="54" customFormat="1" x14ac:dyDescent="0.25">
      <c r="R121" s="175"/>
      <c r="S121" s="175"/>
      <c r="T121" s="175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</row>
    <row r="122" spans="18:46" s="54" customFormat="1" x14ac:dyDescent="0.25">
      <c r="R122" s="175"/>
      <c r="S122" s="175"/>
      <c r="T122" s="175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</row>
    <row r="123" spans="18:46" s="54" customFormat="1" x14ac:dyDescent="0.25">
      <c r="R123" s="175"/>
      <c r="S123" s="175"/>
      <c r="T123" s="175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</row>
    <row r="124" spans="18:46" s="54" customFormat="1" x14ac:dyDescent="0.25">
      <c r="R124" s="175"/>
      <c r="S124" s="175"/>
      <c r="T124" s="175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</row>
    <row r="125" spans="18:46" s="54" customFormat="1" x14ac:dyDescent="0.25">
      <c r="R125" s="175"/>
      <c r="S125" s="175"/>
      <c r="T125" s="175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</row>
    <row r="126" spans="18:46" s="54" customFormat="1" x14ac:dyDescent="0.25">
      <c r="R126" s="175"/>
      <c r="S126" s="175"/>
      <c r="T126" s="175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</row>
    <row r="127" spans="18:46" s="54" customFormat="1" x14ac:dyDescent="0.25">
      <c r="R127" s="175"/>
      <c r="S127" s="175"/>
      <c r="T127" s="175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</row>
    <row r="128" spans="18:46" s="54" customFormat="1" x14ac:dyDescent="0.25">
      <c r="R128" s="175"/>
      <c r="S128" s="175"/>
      <c r="T128" s="175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</row>
    <row r="129" spans="18:46" s="54" customFormat="1" x14ac:dyDescent="0.25">
      <c r="R129" s="175"/>
      <c r="S129" s="175"/>
      <c r="T129" s="175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</row>
    <row r="130" spans="18:46" s="54" customFormat="1" x14ac:dyDescent="0.25">
      <c r="R130" s="175"/>
      <c r="S130" s="175"/>
      <c r="T130" s="175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</row>
    <row r="131" spans="18:46" s="54" customFormat="1" x14ac:dyDescent="0.25">
      <c r="R131" s="175"/>
      <c r="S131" s="175"/>
      <c r="T131" s="175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</row>
    <row r="132" spans="18:46" s="54" customFormat="1" x14ac:dyDescent="0.25">
      <c r="R132" s="175"/>
      <c r="S132" s="175"/>
      <c r="T132" s="175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</row>
    <row r="133" spans="18:46" s="54" customFormat="1" x14ac:dyDescent="0.25">
      <c r="R133" s="175"/>
      <c r="S133" s="175"/>
      <c r="T133" s="175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</row>
    <row r="134" spans="18:46" s="54" customFormat="1" x14ac:dyDescent="0.25">
      <c r="R134" s="175"/>
      <c r="S134" s="175"/>
      <c r="T134" s="175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</row>
    <row r="135" spans="18:46" s="54" customFormat="1" x14ac:dyDescent="0.25">
      <c r="R135" s="175"/>
      <c r="S135" s="175"/>
      <c r="T135" s="175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</row>
    <row r="136" spans="18:46" s="54" customFormat="1" x14ac:dyDescent="0.25">
      <c r="R136" s="175"/>
      <c r="S136" s="175"/>
      <c r="T136" s="175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</row>
    <row r="137" spans="18:46" s="54" customFormat="1" x14ac:dyDescent="0.25">
      <c r="R137" s="175"/>
      <c r="S137" s="175"/>
      <c r="T137" s="175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</row>
    <row r="138" spans="18:46" s="54" customFormat="1" x14ac:dyDescent="0.25">
      <c r="R138" s="175"/>
      <c r="S138" s="175"/>
      <c r="T138" s="175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</row>
    <row r="139" spans="18:46" s="54" customFormat="1" x14ac:dyDescent="0.25">
      <c r="R139" s="175"/>
      <c r="S139" s="175"/>
      <c r="T139" s="175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</row>
    <row r="140" spans="18:46" s="54" customFormat="1" x14ac:dyDescent="0.25">
      <c r="R140" s="175"/>
      <c r="S140" s="175"/>
      <c r="T140" s="175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</row>
    <row r="141" spans="18:46" s="54" customFormat="1" x14ac:dyDescent="0.25">
      <c r="R141" s="175"/>
      <c r="S141" s="175"/>
      <c r="T141" s="175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</row>
    <row r="142" spans="18:46" s="54" customFormat="1" x14ac:dyDescent="0.25">
      <c r="R142" s="175"/>
      <c r="S142" s="175"/>
      <c r="T142" s="175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</row>
    <row r="143" spans="18:46" s="54" customFormat="1" x14ac:dyDescent="0.25">
      <c r="R143" s="175"/>
      <c r="S143" s="175"/>
      <c r="T143" s="175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</row>
    <row r="144" spans="18:46" s="54" customFormat="1" x14ac:dyDescent="0.25">
      <c r="R144" s="175"/>
      <c r="S144" s="175"/>
      <c r="T144" s="175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</row>
    <row r="145" spans="18:46" s="54" customFormat="1" x14ac:dyDescent="0.25">
      <c r="R145" s="175"/>
      <c r="S145" s="175"/>
      <c r="T145" s="175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</row>
    <row r="146" spans="18:46" s="54" customFormat="1" x14ac:dyDescent="0.25">
      <c r="R146" s="175"/>
      <c r="S146" s="175"/>
      <c r="T146" s="175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</row>
    <row r="147" spans="18:46" s="54" customFormat="1" x14ac:dyDescent="0.25">
      <c r="R147" s="175"/>
      <c r="S147" s="175"/>
      <c r="T147" s="175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</row>
    <row r="148" spans="18:46" s="54" customFormat="1" x14ac:dyDescent="0.25">
      <c r="R148" s="175"/>
      <c r="S148" s="175"/>
      <c r="T148" s="175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</row>
    <row r="149" spans="18:46" s="54" customFormat="1" x14ac:dyDescent="0.25">
      <c r="R149" s="175"/>
      <c r="S149" s="175"/>
      <c r="T149" s="175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</row>
    <row r="150" spans="18:46" s="54" customFormat="1" x14ac:dyDescent="0.25">
      <c r="R150" s="175"/>
      <c r="S150" s="175"/>
      <c r="T150" s="175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</row>
    <row r="151" spans="18:46" s="54" customFormat="1" x14ac:dyDescent="0.25">
      <c r="R151" s="175"/>
      <c r="S151" s="175"/>
      <c r="T151" s="175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</row>
    <row r="152" spans="18:46" s="54" customFormat="1" x14ac:dyDescent="0.25">
      <c r="R152" s="175"/>
      <c r="S152" s="175"/>
      <c r="T152" s="175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</row>
    <row r="153" spans="18:46" s="54" customFormat="1" x14ac:dyDescent="0.25">
      <c r="R153" s="175"/>
      <c r="S153" s="175"/>
      <c r="T153" s="175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</row>
    <row r="154" spans="18:46" s="54" customFormat="1" x14ac:dyDescent="0.25">
      <c r="R154" s="175"/>
      <c r="S154" s="175"/>
      <c r="T154" s="175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</row>
    <row r="155" spans="18:46" s="54" customFormat="1" x14ac:dyDescent="0.25">
      <c r="R155" s="175"/>
      <c r="S155" s="175"/>
      <c r="T155" s="175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</row>
    <row r="156" spans="18:46" s="54" customFormat="1" x14ac:dyDescent="0.25">
      <c r="R156" s="175"/>
      <c r="S156" s="175"/>
      <c r="T156" s="175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</row>
    <row r="157" spans="18:46" s="54" customFormat="1" x14ac:dyDescent="0.25">
      <c r="R157" s="175"/>
      <c r="S157" s="175"/>
      <c r="T157" s="175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</row>
    <row r="158" spans="18:46" s="54" customFormat="1" x14ac:dyDescent="0.25">
      <c r="R158" s="175"/>
      <c r="S158" s="175"/>
      <c r="T158" s="175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</row>
    <row r="159" spans="18:46" s="54" customFormat="1" x14ac:dyDescent="0.25">
      <c r="R159" s="175"/>
      <c r="S159" s="175"/>
      <c r="T159" s="175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</row>
    <row r="160" spans="18:46" s="54" customFormat="1" x14ac:dyDescent="0.25">
      <c r="R160" s="175"/>
      <c r="S160" s="175"/>
      <c r="T160" s="175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</row>
    <row r="161" spans="18:46" s="54" customFormat="1" x14ac:dyDescent="0.25">
      <c r="R161" s="175"/>
      <c r="S161" s="175"/>
      <c r="T161" s="175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</row>
    <row r="162" spans="18:46" s="54" customFormat="1" x14ac:dyDescent="0.25">
      <c r="R162" s="175"/>
      <c r="S162" s="175"/>
      <c r="T162" s="175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</row>
    <row r="163" spans="18:46" s="54" customFormat="1" x14ac:dyDescent="0.25">
      <c r="R163" s="175"/>
      <c r="S163" s="175"/>
      <c r="T163" s="175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</row>
    <row r="164" spans="18:46" s="54" customFormat="1" x14ac:dyDescent="0.25">
      <c r="R164" s="175"/>
      <c r="S164" s="175"/>
      <c r="T164" s="175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</row>
    <row r="165" spans="18:46" s="54" customFormat="1" x14ac:dyDescent="0.25">
      <c r="R165" s="175"/>
      <c r="S165" s="175"/>
      <c r="T165" s="175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</row>
    <row r="166" spans="18:46" s="54" customFormat="1" x14ac:dyDescent="0.25">
      <c r="R166" s="175"/>
      <c r="S166" s="175"/>
      <c r="T166" s="175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</row>
    <row r="167" spans="18:46" s="54" customFormat="1" x14ac:dyDescent="0.25">
      <c r="R167" s="175"/>
      <c r="S167" s="175"/>
      <c r="T167" s="175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</row>
    <row r="168" spans="18:46" s="54" customFormat="1" x14ac:dyDescent="0.25">
      <c r="R168" s="175"/>
      <c r="S168" s="175"/>
      <c r="T168" s="175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</row>
    <row r="169" spans="18:46" s="54" customFormat="1" x14ac:dyDescent="0.25">
      <c r="R169" s="175"/>
      <c r="S169" s="175"/>
      <c r="T169" s="175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</row>
    <row r="170" spans="18:46" s="54" customFormat="1" x14ac:dyDescent="0.25">
      <c r="R170" s="175"/>
      <c r="S170" s="175"/>
      <c r="T170" s="175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</row>
    <row r="171" spans="18:46" s="54" customFormat="1" x14ac:dyDescent="0.25">
      <c r="R171" s="175"/>
      <c r="S171" s="175"/>
      <c r="T171" s="175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</row>
    <row r="172" spans="18:46" s="54" customFormat="1" x14ac:dyDescent="0.25">
      <c r="R172" s="175"/>
      <c r="S172" s="175"/>
      <c r="T172" s="175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</row>
    <row r="173" spans="18:46" s="54" customFormat="1" x14ac:dyDescent="0.25">
      <c r="R173" s="175"/>
      <c r="S173" s="175"/>
      <c r="T173" s="175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</row>
    <row r="174" spans="18:46" s="54" customFormat="1" x14ac:dyDescent="0.25">
      <c r="R174" s="175"/>
      <c r="S174" s="175"/>
      <c r="T174" s="175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</row>
    <row r="175" spans="18:46" s="54" customFormat="1" x14ac:dyDescent="0.25">
      <c r="R175" s="175"/>
      <c r="S175" s="175"/>
      <c r="T175" s="175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</row>
    <row r="176" spans="18:46" s="54" customFormat="1" x14ac:dyDescent="0.25">
      <c r="R176" s="175"/>
      <c r="S176" s="175"/>
      <c r="T176" s="175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</row>
    <row r="177" spans="18:46" s="54" customFormat="1" x14ac:dyDescent="0.25">
      <c r="R177" s="175"/>
      <c r="S177" s="175"/>
      <c r="T177" s="175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</row>
    <row r="178" spans="18:46" s="54" customFormat="1" x14ac:dyDescent="0.25">
      <c r="R178" s="175"/>
      <c r="S178" s="175"/>
      <c r="T178" s="175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</row>
    <row r="179" spans="18:46" s="54" customFormat="1" x14ac:dyDescent="0.25">
      <c r="R179" s="175"/>
      <c r="S179" s="175"/>
      <c r="T179" s="175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</row>
    <row r="180" spans="18:46" s="54" customFormat="1" x14ac:dyDescent="0.25">
      <c r="R180" s="175"/>
      <c r="S180" s="175"/>
      <c r="T180" s="175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</row>
    <row r="181" spans="18:46" s="54" customFormat="1" x14ac:dyDescent="0.25">
      <c r="R181" s="175"/>
      <c r="S181" s="175"/>
      <c r="T181" s="175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</row>
    <row r="182" spans="18:46" s="54" customFormat="1" x14ac:dyDescent="0.25">
      <c r="R182" s="175"/>
      <c r="S182" s="175"/>
      <c r="T182" s="175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</row>
    <row r="183" spans="18:46" s="54" customFormat="1" x14ac:dyDescent="0.25">
      <c r="R183" s="175"/>
      <c r="S183" s="175"/>
      <c r="T183" s="175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</row>
    <row r="184" spans="18:46" s="54" customFormat="1" x14ac:dyDescent="0.25">
      <c r="R184" s="175"/>
      <c r="S184" s="175"/>
      <c r="T184" s="175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</row>
    <row r="185" spans="18:46" s="54" customFormat="1" x14ac:dyDescent="0.25">
      <c r="R185" s="175"/>
      <c r="S185" s="175"/>
      <c r="T185" s="175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</row>
    <row r="186" spans="18:46" s="54" customFormat="1" x14ac:dyDescent="0.25">
      <c r="R186" s="175"/>
      <c r="S186" s="175"/>
      <c r="T186" s="175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</row>
    <row r="187" spans="18:46" s="54" customFormat="1" x14ac:dyDescent="0.25">
      <c r="R187" s="175"/>
      <c r="S187" s="175"/>
      <c r="T187" s="175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</row>
    <row r="188" spans="18:46" s="54" customFormat="1" x14ac:dyDescent="0.25">
      <c r="R188" s="175"/>
      <c r="S188" s="175"/>
      <c r="T188" s="175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</row>
    <row r="189" spans="18:46" s="54" customFormat="1" x14ac:dyDescent="0.25">
      <c r="R189" s="175"/>
      <c r="S189" s="175"/>
      <c r="T189" s="175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</row>
    <row r="190" spans="18:46" s="54" customFormat="1" x14ac:dyDescent="0.25">
      <c r="R190" s="175"/>
      <c r="S190" s="175"/>
      <c r="T190" s="175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</row>
    <row r="191" spans="18:46" s="54" customFormat="1" x14ac:dyDescent="0.25">
      <c r="R191" s="175"/>
      <c r="S191" s="175"/>
      <c r="T191" s="175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</row>
    <row r="192" spans="18:46" s="54" customFormat="1" x14ac:dyDescent="0.25">
      <c r="R192" s="175"/>
      <c r="S192" s="175"/>
      <c r="T192" s="175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</row>
    <row r="193" spans="18:46" s="54" customFormat="1" x14ac:dyDescent="0.25">
      <c r="R193" s="175"/>
      <c r="S193" s="175"/>
      <c r="T193" s="175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</row>
    <row r="194" spans="18:46" s="54" customFormat="1" x14ac:dyDescent="0.25">
      <c r="R194" s="175"/>
      <c r="S194" s="175"/>
      <c r="T194" s="175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</row>
    <row r="195" spans="18:46" s="54" customFormat="1" x14ac:dyDescent="0.25">
      <c r="R195" s="175"/>
      <c r="S195" s="175"/>
      <c r="T195" s="175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</row>
    <row r="196" spans="18:46" s="54" customFormat="1" x14ac:dyDescent="0.25">
      <c r="R196" s="175"/>
      <c r="S196" s="175"/>
      <c r="T196" s="175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</row>
    <row r="197" spans="18:46" s="54" customFormat="1" x14ac:dyDescent="0.25">
      <c r="R197" s="175"/>
      <c r="S197" s="175"/>
      <c r="T197" s="175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</row>
    <row r="198" spans="18:46" s="54" customFormat="1" x14ac:dyDescent="0.25">
      <c r="R198" s="175"/>
      <c r="S198" s="175"/>
      <c r="T198" s="175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</row>
    <row r="199" spans="18:46" s="54" customFormat="1" x14ac:dyDescent="0.25">
      <c r="R199" s="175"/>
      <c r="S199" s="175"/>
      <c r="T199" s="175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</row>
    <row r="200" spans="18:46" s="54" customFormat="1" x14ac:dyDescent="0.25">
      <c r="R200" s="175"/>
      <c r="S200" s="175"/>
      <c r="T200" s="175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</row>
    <row r="201" spans="18:46" s="54" customFormat="1" x14ac:dyDescent="0.25">
      <c r="R201" s="175"/>
      <c r="S201" s="175"/>
      <c r="T201" s="175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</row>
    <row r="202" spans="18:46" s="54" customFormat="1" x14ac:dyDescent="0.25">
      <c r="R202" s="175"/>
      <c r="S202" s="175"/>
      <c r="T202" s="175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</row>
    <row r="203" spans="18:46" s="54" customFormat="1" x14ac:dyDescent="0.25">
      <c r="R203" s="175"/>
      <c r="S203" s="175"/>
      <c r="T203" s="175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</row>
    <row r="204" spans="18:46" s="54" customFormat="1" x14ac:dyDescent="0.25">
      <c r="R204" s="175"/>
      <c r="S204" s="175"/>
      <c r="T204" s="175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  <c r="AT204" s="90"/>
    </row>
    <row r="205" spans="18:46" s="54" customFormat="1" x14ac:dyDescent="0.25">
      <c r="R205" s="175"/>
      <c r="S205" s="175"/>
      <c r="T205" s="175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</row>
    <row r="206" spans="18:46" s="54" customFormat="1" x14ac:dyDescent="0.25">
      <c r="R206" s="175"/>
      <c r="S206" s="175"/>
      <c r="T206" s="175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  <c r="AT206" s="90"/>
    </row>
    <row r="207" spans="18:46" s="54" customFormat="1" x14ac:dyDescent="0.25">
      <c r="R207" s="175"/>
      <c r="S207" s="175"/>
      <c r="T207" s="175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</row>
    <row r="208" spans="18:46" s="54" customFormat="1" x14ac:dyDescent="0.25">
      <c r="R208" s="175"/>
      <c r="S208" s="175"/>
      <c r="T208" s="175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  <c r="AT208" s="90"/>
    </row>
    <row r="209" spans="18:46" s="54" customFormat="1" x14ac:dyDescent="0.25">
      <c r="R209" s="175"/>
      <c r="S209" s="175"/>
      <c r="T209" s="175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</row>
    <row r="210" spans="18:46" s="54" customFormat="1" x14ac:dyDescent="0.25">
      <c r="R210" s="175"/>
      <c r="S210" s="175"/>
      <c r="T210" s="175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</row>
    <row r="211" spans="18:46" s="54" customFormat="1" x14ac:dyDescent="0.25">
      <c r="R211" s="175"/>
      <c r="S211" s="175"/>
      <c r="T211" s="175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</row>
    <row r="212" spans="18:46" s="54" customFormat="1" x14ac:dyDescent="0.25">
      <c r="R212" s="175"/>
      <c r="S212" s="175"/>
      <c r="T212" s="175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</row>
    <row r="213" spans="18:46" s="54" customFormat="1" x14ac:dyDescent="0.25">
      <c r="R213" s="175"/>
      <c r="S213" s="175"/>
      <c r="T213" s="175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</row>
    <row r="214" spans="18:46" s="54" customFormat="1" x14ac:dyDescent="0.25">
      <c r="R214" s="175"/>
      <c r="S214" s="175"/>
      <c r="T214" s="175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90"/>
    </row>
    <row r="215" spans="18:46" s="54" customFormat="1" x14ac:dyDescent="0.25">
      <c r="R215" s="175"/>
      <c r="S215" s="175"/>
      <c r="T215" s="175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</row>
    <row r="216" spans="18:46" s="54" customFormat="1" x14ac:dyDescent="0.25">
      <c r="R216" s="175"/>
      <c r="S216" s="175"/>
      <c r="T216" s="175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  <c r="AT216" s="90"/>
    </row>
    <row r="217" spans="18:46" s="54" customFormat="1" x14ac:dyDescent="0.25">
      <c r="R217" s="175"/>
      <c r="S217" s="175"/>
      <c r="T217" s="175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</row>
    <row r="218" spans="18:46" s="54" customFormat="1" x14ac:dyDescent="0.25">
      <c r="R218" s="175"/>
      <c r="S218" s="175"/>
      <c r="T218" s="175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</row>
    <row r="219" spans="18:46" s="54" customFormat="1" x14ac:dyDescent="0.25">
      <c r="R219" s="175"/>
      <c r="S219" s="175"/>
      <c r="T219" s="175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</row>
    <row r="220" spans="18:46" s="54" customFormat="1" x14ac:dyDescent="0.25">
      <c r="R220" s="175"/>
      <c r="S220" s="175"/>
      <c r="T220" s="175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</row>
    <row r="221" spans="18:46" s="54" customFormat="1" x14ac:dyDescent="0.25">
      <c r="R221" s="175"/>
      <c r="S221" s="175"/>
      <c r="T221" s="175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</row>
    <row r="222" spans="18:46" s="54" customFormat="1" x14ac:dyDescent="0.25">
      <c r="R222" s="175"/>
      <c r="S222" s="175"/>
      <c r="T222" s="175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</row>
    <row r="223" spans="18:46" s="54" customFormat="1" x14ac:dyDescent="0.25">
      <c r="R223" s="175"/>
      <c r="S223" s="175"/>
      <c r="T223" s="175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</row>
    <row r="224" spans="18:46" s="54" customFormat="1" x14ac:dyDescent="0.25">
      <c r="R224" s="175"/>
      <c r="S224" s="175"/>
      <c r="T224" s="175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  <c r="AT224" s="90"/>
    </row>
    <row r="225" spans="18:46" s="54" customFormat="1" x14ac:dyDescent="0.25">
      <c r="R225" s="175"/>
      <c r="S225" s="175"/>
      <c r="T225" s="175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</row>
    <row r="226" spans="18:46" s="54" customFormat="1" x14ac:dyDescent="0.25">
      <c r="R226" s="175"/>
      <c r="S226" s="175"/>
      <c r="T226" s="175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</row>
    <row r="227" spans="18:46" s="54" customFormat="1" x14ac:dyDescent="0.25">
      <c r="R227" s="175"/>
      <c r="S227" s="175"/>
      <c r="T227" s="175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</row>
    <row r="228" spans="18:46" s="54" customFormat="1" x14ac:dyDescent="0.25">
      <c r="R228" s="175"/>
      <c r="S228" s="175"/>
      <c r="T228" s="175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  <c r="AT228" s="90"/>
    </row>
    <row r="229" spans="18:46" s="54" customFormat="1" x14ac:dyDescent="0.25">
      <c r="R229" s="175"/>
      <c r="S229" s="175"/>
      <c r="T229" s="175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  <c r="AT229" s="90"/>
    </row>
    <row r="230" spans="18:46" s="54" customFormat="1" x14ac:dyDescent="0.25">
      <c r="R230" s="175"/>
      <c r="S230" s="175"/>
      <c r="T230" s="175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  <c r="AT230" s="90"/>
    </row>
    <row r="231" spans="18:46" s="54" customFormat="1" x14ac:dyDescent="0.25">
      <c r="R231" s="175"/>
      <c r="S231" s="175"/>
      <c r="T231" s="175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</row>
    <row r="232" spans="18:46" s="54" customFormat="1" x14ac:dyDescent="0.25">
      <c r="R232" s="175"/>
      <c r="S232" s="175"/>
      <c r="T232" s="175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</row>
    <row r="233" spans="18:46" s="54" customFormat="1" x14ac:dyDescent="0.25">
      <c r="R233" s="175"/>
      <c r="S233" s="175"/>
      <c r="T233" s="175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</row>
    <row r="234" spans="18:46" s="54" customFormat="1" x14ac:dyDescent="0.25">
      <c r="R234" s="175"/>
      <c r="S234" s="175"/>
      <c r="T234" s="175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  <c r="AT234" s="90"/>
    </row>
    <row r="235" spans="18:46" s="54" customFormat="1" x14ac:dyDescent="0.25">
      <c r="R235" s="175"/>
      <c r="S235" s="175"/>
      <c r="T235" s="175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  <c r="AT235" s="90"/>
    </row>
    <row r="236" spans="18:46" s="54" customFormat="1" x14ac:dyDescent="0.25">
      <c r="R236" s="175"/>
      <c r="S236" s="175"/>
      <c r="T236" s="175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  <c r="AT236" s="90"/>
    </row>
    <row r="237" spans="18:46" s="54" customFormat="1" x14ac:dyDescent="0.25">
      <c r="R237" s="175"/>
      <c r="S237" s="175"/>
      <c r="T237" s="175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</row>
    <row r="238" spans="18:46" s="54" customFormat="1" x14ac:dyDescent="0.25">
      <c r="R238" s="175"/>
      <c r="S238" s="175"/>
      <c r="T238" s="175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  <c r="AT238" s="90"/>
    </row>
    <row r="239" spans="18:46" s="54" customFormat="1" x14ac:dyDescent="0.25">
      <c r="R239" s="175"/>
      <c r="S239" s="175"/>
      <c r="T239" s="175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</row>
    <row r="240" spans="18:46" s="54" customFormat="1" x14ac:dyDescent="0.25">
      <c r="R240" s="175"/>
      <c r="S240" s="175"/>
      <c r="T240" s="175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  <c r="AT240" s="90"/>
    </row>
    <row r="241" spans="18:46" s="54" customFormat="1" x14ac:dyDescent="0.25">
      <c r="R241" s="175"/>
      <c r="S241" s="175"/>
      <c r="T241" s="175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  <c r="AT241" s="90"/>
    </row>
    <row r="242" spans="18:46" s="54" customFormat="1" x14ac:dyDescent="0.25">
      <c r="R242" s="175"/>
      <c r="S242" s="175"/>
      <c r="T242" s="175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</row>
    <row r="243" spans="18:46" s="54" customFormat="1" x14ac:dyDescent="0.25">
      <c r="R243" s="175"/>
      <c r="S243" s="175"/>
      <c r="T243" s="175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</row>
    <row r="244" spans="18:46" s="54" customFormat="1" x14ac:dyDescent="0.25">
      <c r="R244" s="175"/>
      <c r="S244" s="175"/>
      <c r="T244" s="175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  <c r="AT244" s="90"/>
    </row>
    <row r="245" spans="18:46" s="54" customFormat="1" x14ac:dyDescent="0.25">
      <c r="R245" s="175"/>
      <c r="S245" s="175"/>
      <c r="T245" s="175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</row>
    <row r="246" spans="18:46" s="54" customFormat="1" x14ac:dyDescent="0.25">
      <c r="R246" s="175"/>
      <c r="S246" s="175"/>
      <c r="T246" s="175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  <c r="AT246" s="90"/>
    </row>
    <row r="247" spans="18:46" s="54" customFormat="1" x14ac:dyDescent="0.25">
      <c r="R247" s="175"/>
      <c r="S247" s="175"/>
      <c r="T247" s="175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  <c r="AT247" s="90"/>
    </row>
    <row r="248" spans="18:46" s="54" customFormat="1" x14ac:dyDescent="0.25">
      <c r="R248" s="175"/>
      <c r="S248" s="175"/>
      <c r="T248" s="175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</row>
    <row r="249" spans="18:46" s="54" customFormat="1" x14ac:dyDescent="0.25">
      <c r="R249" s="175"/>
      <c r="S249" s="175"/>
      <c r="T249" s="175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</row>
    <row r="250" spans="18:46" s="54" customFormat="1" x14ac:dyDescent="0.25">
      <c r="R250" s="175"/>
      <c r="S250" s="175"/>
      <c r="T250" s="175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</row>
    <row r="251" spans="18:46" s="54" customFormat="1" x14ac:dyDescent="0.25">
      <c r="R251" s="175"/>
      <c r="S251" s="175"/>
      <c r="T251" s="175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</row>
    <row r="252" spans="18:46" s="54" customFormat="1" x14ac:dyDescent="0.25">
      <c r="R252" s="175"/>
      <c r="S252" s="175"/>
      <c r="T252" s="175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</row>
    <row r="253" spans="18:46" s="54" customFormat="1" x14ac:dyDescent="0.25">
      <c r="R253" s="175"/>
      <c r="S253" s="175"/>
      <c r="T253" s="175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</row>
    <row r="254" spans="18:46" s="54" customFormat="1" x14ac:dyDescent="0.25">
      <c r="R254" s="175"/>
      <c r="S254" s="175"/>
      <c r="T254" s="175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</row>
    <row r="255" spans="18:46" s="54" customFormat="1" x14ac:dyDescent="0.25">
      <c r="R255" s="175"/>
      <c r="S255" s="175"/>
      <c r="T255" s="175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</row>
    <row r="256" spans="18:46" s="54" customFormat="1" x14ac:dyDescent="0.25">
      <c r="R256" s="175"/>
      <c r="S256" s="175"/>
      <c r="T256" s="175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</row>
    <row r="257" spans="18:46" s="54" customFormat="1" x14ac:dyDescent="0.25">
      <c r="R257" s="175"/>
      <c r="S257" s="175"/>
      <c r="T257" s="175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</row>
    <row r="258" spans="18:46" s="54" customFormat="1" x14ac:dyDescent="0.25">
      <c r="R258" s="175"/>
      <c r="S258" s="175"/>
      <c r="T258" s="175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</row>
    <row r="259" spans="18:46" s="54" customFormat="1" x14ac:dyDescent="0.25">
      <c r="R259" s="175"/>
      <c r="S259" s="175"/>
      <c r="T259" s="175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</row>
    <row r="260" spans="18:46" s="54" customFormat="1" x14ac:dyDescent="0.25">
      <c r="R260" s="175"/>
      <c r="S260" s="175"/>
      <c r="T260" s="175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</row>
    <row r="261" spans="18:46" s="54" customFormat="1" x14ac:dyDescent="0.25">
      <c r="R261" s="175"/>
      <c r="S261" s="175"/>
      <c r="T261" s="175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</row>
    <row r="262" spans="18:46" s="54" customFormat="1" x14ac:dyDescent="0.25">
      <c r="R262" s="175"/>
      <c r="S262" s="175"/>
      <c r="T262" s="175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</row>
    <row r="263" spans="18:46" s="54" customFormat="1" x14ac:dyDescent="0.25">
      <c r="R263" s="175"/>
      <c r="S263" s="175"/>
      <c r="T263" s="175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</row>
    <row r="264" spans="18:46" s="54" customFormat="1" x14ac:dyDescent="0.25">
      <c r="R264" s="175"/>
      <c r="S264" s="175"/>
      <c r="T264" s="175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</row>
    <row r="265" spans="18:46" s="54" customFormat="1" x14ac:dyDescent="0.25">
      <c r="R265" s="175"/>
      <c r="S265" s="175"/>
      <c r="T265" s="175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</row>
    <row r="266" spans="18:46" s="54" customFormat="1" x14ac:dyDescent="0.25">
      <c r="R266" s="175"/>
      <c r="S266" s="175"/>
      <c r="T266" s="175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</row>
    <row r="267" spans="18:46" s="54" customFormat="1" x14ac:dyDescent="0.25">
      <c r="R267" s="175"/>
      <c r="S267" s="175"/>
      <c r="T267" s="175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</row>
    <row r="268" spans="18:46" s="54" customFormat="1" x14ac:dyDescent="0.25">
      <c r="R268" s="175"/>
      <c r="S268" s="175"/>
      <c r="T268" s="175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  <c r="AT268" s="90"/>
    </row>
    <row r="269" spans="18:46" s="54" customFormat="1" x14ac:dyDescent="0.25">
      <c r="R269" s="175"/>
      <c r="S269" s="175"/>
      <c r="T269" s="175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  <c r="AT269" s="90"/>
    </row>
    <row r="270" spans="18:46" s="54" customFormat="1" x14ac:dyDescent="0.25">
      <c r="R270" s="175"/>
      <c r="S270" s="175"/>
      <c r="T270" s="175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</row>
    <row r="271" spans="18:46" s="54" customFormat="1" x14ac:dyDescent="0.25">
      <c r="R271" s="175"/>
      <c r="S271" s="175"/>
      <c r="T271" s="175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</row>
    <row r="272" spans="18:46" s="54" customFormat="1" x14ac:dyDescent="0.25">
      <c r="R272" s="175"/>
      <c r="S272" s="175"/>
      <c r="T272" s="175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</row>
    <row r="273" spans="18:46" s="54" customFormat="1" x14ac:dyDescent="0.25">
      <c r="R273" s="175"/>
      <c r="S273" s="175"/>
      <c r="T273" s="175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</row>
    <row r="274" spans="18:46" s="54" customFormat="1" x14ac:dyDescent="0.25">
      <c r="R274" s="175"/>
      <c r="S274" s="175"/>
      <c r="T274" s="175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</row>
    <row r="275" spans="18:46" s="54" customFormat="1" x14ac:dyDescent="0.25">
      <c r="R275" s="175"/>
      <c r="S275" s="175"/>
      <c r="T275" s="175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</row>
    <row r="276" spans="18:46" s="54" customFormat="1" x14ac:dyDescent="0.25">
      <c r="R276" s="175"/>
      <c r="S276" s="175"/>
      <c r="T276" s="175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</row>
    <row r="277" spans="18:46" s="54" customFormat="1" x14ac:dyDescent="0.25">
      <c r="R277" s="175"/>
      <c r="S277" s="175"/>
      <c r="T277" s="175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</row>
    <row r="278" spans="18:46" s="54" customFormat="1" x14ac:dyDescent="0.25">
      <c r="R278" s="175"/>
      <c r="S278" s="175"/>
      <c r="T278" s="175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</row>
    <row r="279" spans="18:46" s="54" customFormat="1" x14ac:dyDescent="0.25">
      <c r="R279" s="175"/>
      <c r="S279" s="175"/>
      <c r="T279" s="175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</row>
    <row r="280" spans="18:46" s="54" customFormat="1" x14ac:dyDescent="0.25">
      <c r="R280" s="175"/>
      <c r="S280" s="175"/>
      <c r="T280" s="175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</row>
    <row r="281" spans="18:46" s="54" customFormat="1" x14ac:dyDescent="0.25">
      <c r="R281" s="175"/>
      <c r="S281" s="175"/>
      <c r="T281" s="175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</row>
    <row r="282" spans="18:46" s="54" customFormat="1" x14ac:dyDescent="0.25">
      <c r="R282" s="175"/>
      <c r="S282" s="175"/>
      <c r="T282" s="175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</row>
    <row r="283" spans="18:46" s="54" customFormat="1" x14ac:dyDescent="0.25">
      <c r="R283" s="175"/>
      <c r="S283" s="175"/>
      <c r="T283" s="175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</row>
    <row r="284" spans="18:46" s="54" customFormat="1" x14ac:dyDescent="0.25">
      <c r="R284" s="175"/>
      <c r="S284" s="175"/>
      <c r="T284" s="175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</row>
    <row r="285" spans="18:46" s="54" customFormat="1" x14ac:dyDescent="0.25">
      <c r="R285" s="175"/>
      <c r="S285" s="175"/>
      <c r="T285" s="175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</row>
    <row r="286" spans="18:46" s="54" customFormat="1" x14ac:dyDescent="0.25">
      <c r="R286" s="175"/>
      <c r="S286" s="175"/>
      <c r="T286" s="175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</row>
    <row r="287" spans="18:46" s="54" customFormat="1" x14ac:dyDescent="0.25">
      <c r="R287" s="175"/>
      <c r="S287" s="175"/>
      <c r="T287" s="175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</row>
    <row r="288" spans="18:46" s="54" customFormat="1" x14ac:dyDescent="0.25">
      <c r="R288" s="175"/>
      <c r="S288" s="175"/>
      <c r="T288" s="175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</row>
    <row r="289" spans="18:46" s="54" customFormat="1" x14ac:dyDescent="0.25">
      <c r="R289" s="175"/>
      <c r="S289" s="175"/>
      <c r="T289" s="175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</row>
    <row r="290" spans="18:46" s="54" customFormat="1" x14ac:dyDescent="0.25">
      <c r="R290" s="175"/>
      <c r="S290" s="175"/>
      <c r="T290" s="175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  <c r="AT290" s="90"/>
    </row>
    <row r="291" spans="18:46" s="54" customFormat="1" x14ac:dyDescent="0.25">
      <c r="R291" s="175"/>
      <c r="S291" s="175"/>
      <c r="T291" s="175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  <c r="AT291" s="90"/>
    </row>
    <row r="292" spans="18:46" s="54" customFormat="1" x14ac:dyDescent="0.25">
      <c r="R292" s="175"/>
      <c r="S292" s="175"/>
      <c r="T292" s="175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</row>
    <row r="293" spans="18:46" s="54" customFormat="1" x14ac:dyDescent="0.25">
      <c r="R293" s="175"/>
      <c r="S293" s="175"/>
      <c r="T293" s="175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</row>
    <row r="294" spans="18:46" s="54" customFormat="1" x14ac:dyDescent="0.25">
      <c r="R294" s="175"/>
      <c r="S294" s="175"/>
      <c r="T294" s="175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</row>
    <row r="295" spans="18:46" s="54" customFormat="1" x14ac:dyDescent="0.25">
      <c r="R295" s="175"/>
      <c r="S295" s="175"/>
      <c r="T295" s="175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</row>
    <row r="296" spans="18:46" s="54" customFormat="1" x14ac:dyDescent="0.25">
      <c r="R296" s="175"/>
      <c r="S296" s="175"/>
      <c r="T296" s="175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</row>
    <row r="297" spans="18:46" s="54" customFormat="1" x14ac:dyDescent="0.25">
      <c r="R297" s="175"/>
      <c r="S297" s="175"/>
      <c r="T297" s="175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</row>
    <row r="298" spans="18:46" s="54" customFormat="1" x14ac:dyDescent="0.25">
      <c r="R298" s="175"/>
      <c r="S298" s="175"/>
      <c r="T298" s="175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</row>
    <row r="299" spans="18:46" s="54" customFormat="1" x14ac:dyDescent="0.25">
      <c r="R299" s="175"/>
      <c r="S299" s="175"/>
      <c r="T299" s="175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</row>
    <row r="300" spans="18:46" s="54" customFormat="1" x14ac:dyDescent="0.25">
      <c r="R300" s="175"/>
      <c r="S300" s="175"/>
      <c r="T300" s="175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</row>
    <row r="301" spans="18:46" s="54" customFormat="1" x14ac:dyDescent="0.25">
      <c r="R301" s="175"/>
      <c r="S301" s="175"/>
      <c r="T301" s="175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</row>
    <row r="302" spans="18:46" s="54" customFormat="1" x14ac:dyDescent="0.25">
      <c r="R302" s="175"/>
      <c r="S302" s="175"/>
      <c r="T302" s="175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</row>
    <row r="303" spans="18:46" s="54" customFormat="1" x14ac:dyDescent="0.25">
      <c r="R303" s="175"/>
      <c r="S303" s="175"/>
      <c r="T303" s="175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</row>
    <row r="304" spans="18:46" s="54" customFormat="1" x14ac:dyDescent="0.25">
      <c r="R304" s="175"/>
      <c r="S304" s="175"/>
      <c r="T304" s="175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</row>
    <row r="305" spans="18:46" s="54" customFormat="1" x14ac:dyDescent="0.25">
      <c r="R305" s="175"/>
      <c r="S305" s="175"/>
      <c r="T305" s="175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</row>
    <row r="306" spans="18:46" s="54" customFormat="1" x14ac:dyDescent="0.25">
      <c r="R306" s="175"/>
      <c r="S306" s="175"/>
      <c r="T306" s="175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</row>
    <row r="307" spans="18:46" s="54" customFormat="1" x14ac:dyDescent="0.25">
      <c r="R307" s="175"/>
      <c r="S307" s="175"/>
      <c r="T307" s="175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</row>
    <row r="308" spans="18:46" s="54" customFormat="1" x14ac:dyDescent="0.25">
      <c r="R308" s="175"/>
      <c r="S308" s="175"/>
      <c r="T308" s="175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</row>
    <row r="309" spans="18:46" s="54" customFormat="1" x14ac:dyDescent="0.25">
      <c r="R309" s="175"/>
      <c r="S309" s="175"/>
      <c r="T309" s="175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</row>
    <row r="310" spans="18:46" s="54" customFormat="1" x14ac:dyDescent="0.25">
      <c r="R310" s="175"/>
      <c r="S310" s="175"/>
      <c r="T310" s="175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</row>
    <row r="311" spans="18:46" s="54" customFormat="1" x14ac:dyDescent="0.25">
      <c r="R311" s="175"/>
      <c r="S311" s="175"/>
      <c r="T311" s="175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</row>
    <row r="312" spans="18:46" s="54" customFormat="1" x14ac:dyDescent="0.25">
      <c r="R312" s="175"/>
      <c r="S312" s="175"/>
      <c r="T312" s="175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  <c r="AT312" s="90"/>
    </row>
    <row r="313" spans="18:46" s="54" customFormat="1" x14ac:dyDescent="0.25">
      <c r="R313" s="175"/>
      <c r="S313" s="175"/>
      <c r="T313" s="175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  <c r="AT313" s="90"/>
    </row>
    <row r="314" spans="18:46" s="54" customFormat="1" x14ac:dyDescent="0.25">
      <c r="R314" s="175"/>
      <c r="S314" s="175"/>
      <c r="T314" s="175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</row>
    <row r="315" spans="18:46" s="54" customFormat="1" x14ac:dyDescent="0.25">
      <c r="R315" s="175"/>
      <c r="S315" s="175"/>
      <c r="T315" s="175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</row>
    <row r="316" spans="18:46" s="54" customFormat="1" x14ac:dyDescent="0.25">
      <c r="R316" s="175"/>
      <c r="S316" s="175"/>
      <c r="T316" s="175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</row>
    <row r="317" spans="18:46" s="54" customFormat="1" x14ac:dyDescent="0.25">
      <c r="R317" s="175"/>
      <c r="S317" s="175"/>
      <c r="T317" s="175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</row>
    <row r="318" spans="18:46" s="54" customFormat="1" x14ac:dyDescent="0.25">
      <c r="R318" s="175"/>
      <c r="S318" s="175"/>
      <c r="T318" s="175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</row>
    <row r="319" spans="18:46" s="54" customFormat="1" x14ac:dyDescent="0.25">
      <c r="R319" s="175"/>
      <c r="S319" s="175"/>
      <c r="T319" s="175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</row>
    <row r="320" spans="18:46" s="54" customFormat="1" x14ac:dyDescent="0.25">
      <c r="R320" s="175"/>
      <c r="S320" s="175"/>
      <c r="T320" s="175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  <c r="AT320" s="90"/>
    </row>
    <row r="321" spans="18:46" s="54" customFormat="1" x14ac:dyDescent="0.25">
      <c r="R321" s="175"/>
      <c r="S321" s="175"/>
      <c r="T321" s="175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  <c r="AT321" s="90"/>
    </row>
    <row r="322" spans="18:46" s="54" customFormat="1" x14ac:dyDescent="0.25">
      <c r="R322" s="175"/>
      <c r="S322" s="175"/>
      <c r="T322" s="175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  <c r="AT322" s="90"/>
    </row>
    <row r="323" spans="18:46" s="54" customFormat="1" x14ac:dyDescent="0.25">
      <c r="R323" s="175"/>
      <c r="S323" s="175"/>
      <c r="T323" s="175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  <c r="AT323" s="90"/>
    </row>
    <row r="324" spans="18:46" s="54" customFormat="1" x14ac:dyDescent="0.25">
      <c r="R324" s="175"/>
      <c r="S324" s="175"/>
      <c r="T324" s="175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  <c r="AT324" s="90"/>
    </row>
    <row r="325" spans="18:46" s="54" customFormat="1" x14ac:dyDescent="0.25">
      <c r="R325" s="175"/>
      <c r="S325" s="175"/>
      <c r="T325" s="175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  <c r="AT325" s="90"/>
    </row>
    <row r="326" spans="18:46" s="54" customFormat="1" x14ac:dyDescent="0.25">
      <c r="R326" s="175"/>
      <c r="S326" s="175"/>
      <c r="T326" s="175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  <c r="AT326" s="90"/>
    </row>
    <row r="327" spans="18:46" s="54" customFormat="1" x14ac:dyDescent="0.25">
      <c r="R327" s="175"/>
      <c r="S327" s="175"/>
      <c r="T327" s="175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  <c r="AT327" s="90"/>
    </row>
    <row r="328" spans="18:46" s="54" customFormat="1" x14ac:dyDescent="0.25">
      <c r="R328" s="175"/>
      <c r="S328" s="175"/>
      <c r="T328" s="175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  <c r="AT328" s="90"/>
    </row>
    <row r="329" spans="18:46" s="54" customFormat="1" x14ac:dyDescent="0.25">
      <c r="R329" s="175"/>
      <c r="S329" s="175"/>
      <c r="T329" s="175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  <c r="AT329" s="90"/>
    </row>
    <row r="330" spans="18:46" s="54" customFormat="1" x14ac:dyDescent="0.25">
      <c r="R330" s="175"/>
      <c r="S330" s="175"/>
      <c r="T330" s="175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  <c r="AT330" s="90"/>
    </row>
    <row r="331" spans="18:46" s="54" customFormat="1" x14ac:dyDescent="0.25">
      <c r="R331" s="175"/>
      <c r="S331" s="175"/>
      <c r="T331" s="175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  <c r="AT331" s="90"/>
    </row>
    <row r="332" spans="18:46" s="54" customFormat="1" x14ac:dyDescent="0.25">
      <c r="R332" s="175"/>
      <c r="S332" s="175"/>
      <c r="T332" s="175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  <c r="AT332" s="90"/>
    </row>
    <row r="333" spans="18:46" s="54" customFormat="1" x14ac:dyDescent="0.25">
      <c r="R333" s="175"/>
      <c r="S333" s="175"/>
      <c r="T333" s="175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  <c r="AT333" s="90"/>
    </row>
    <row r="334" spans="18:46" s="54" customFormat="1" x14ac:dyDescent="0.25">
      <c r="R334" s="175"/>
      <c r="S334" s="175"/>
      <c r="T334" s="175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  <c r="AT334" s="90"/>
    </row>
    <row r="335" spans="18:46" s="54" customFormat="1" x14ac:dyDescent="0.25">
      <c r="R335" s="175"/>
      <c r="S335" s="175"/>
      <c r="T335" s="175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  <c r="AT335" s="90"/>
    </row>
    <row r="336" spans="18:46" s="54" customFormat="1" x14ac:dyDescent="0.25">
      <c r="R336" s="175"/>
      <c r="S336" s="175"/>
      <c r="T336" s="175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  <c r="AT336" s="90"/>
    </row>
    <row r="337" spans="18:46" s="54" customFormat="1" x14ac:dyDescent="0.25">
      <c r="R337" s="175"/>
      <c r="S337" s="175"/>
      <c r="T337" s="175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  <c r="AT337" s="90"/>
    </row>
    <row r="338" spans="18:46" s="54" customFormat="1" x14ac:dyDescent="0.25">
      <c r="R338" s="175"/>
      <c r="S338" s="175"/>
      <c r="T338" s="175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  <c r="AT338" s="90"/>
    </row>
    <row r="339" spans="18:46" s="54" customFormat="1" x14ac:dyDescent="0.25">
      <c r="R339" s="175"/>
      <c r="S339" s="175"/>
      <c r="T339" s="175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  <c r="AT339" s="90"/>
    </row>
    <row r="340" spans="18:46" s="54" customFormat="1" x14ac:dyDescent="0.25">
      <c r="R340" s="175"/>
      <c r="S340" s="175"/>
      <c r="T340" s="175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  <c r="AT340" s="90"/>
    </row>
    <row r="341" spans="18:46" s="54" customFormat="1" x14ac:dyDescent="0.25">
      <c r="R341" s="175"/>
      <c r="S341" s="175"/>
      <c r="T341" s="175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  <c r="AT341" s="90"/>
    </row>
    <row r="342" spans="18:46" s="54" customFormat="1" x14ac:dyDescent="0.25">
      <c r="R342" s="175"/>
      <c r="S342" s="175"/>
      <c r="T342" s="175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  <c r="AT342" s="90"/>
    </row>
    <row r="343" spans="18:46" s="54" customFormat="1" x14ac:dyDescent="0.25">
      <c r="R343" s="175"/>
      <c r="S343" s="175"/>
      <c r="T343" s="175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  <c r="AT343" s="90"/>
    </row>
    <row r="344" spans="18:46" s="54" customFormat="1" x14ac:dyDescent="0.25">
      <c r="R344" s="175"/>
      <c r="S344" s="175"/>
      <c r="T344" s="175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  <c r="AT344" s="90"/>
    </row>
    <row r="345" spans="18:46" s="54" customFormat="1" x14ac:dyDescent="0.25">
      <c r="R345" s="175"/>
      <c r="S345" s="175"/>
      <c r="T345" s="175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  <c r="AT345" s="90"/>
    </row>
    <row r="346" spans="18:46" s="54" customFormat="1" x14ac:dyDescent="0.25">
      <c r="R346" s="175"/>
      <c r="S346" s="175"/>
      <c r="T346" s="175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  <c r="AT346" s="90"/>
    </row>
    <row r="347" spans="18:46" s="54" customFormat="1" x14ac:dyDescent="0.25">
      <c r="R347" s="175"/>
      <c r="S347" s="175"/>
      <c r="T347" s="175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  <c r="AT347" s="90"/>
    </row>
    <row r="348" spans="18:46" s="54" customFormat="1" x14ac:dyDescent="0.25">
      <c r="R348" s="175"/>
      <c r="S348" s="175"/>
      <c r="T348" s="175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  <c r="AT348" s="90"/>
    </row>
    <row r="349" spans="18:46" s="54" customFormat="1" x14ac:dyDescent="0.25">
      <c r="R349" s="175"/>
      <c r="S349" s="175"/>
      <c r="T349" s="175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  <c r="AT349" s="90"/>
    </row>
    <row r="350" spans="18:46" s="54" customFormat="1" x14ac:dyDescent="0.25">
      <c r="R350" s="175"/>
      <c r="S350" s="175"/>
      <c r="T350" s="175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  <c r="AT350" s="90"/>
    </row>
    <row r="351" spans="18:46" s="54" customFormat="1" x14ac:dyDescent="0.25">
      <c r="R351" s="175"/>
      <c r="S351" s="175"/>
      <c r="T351" s="175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  <c r="AT351" s="90"/>
    </row>
    <row r="352" spans="18:46" s="54" customFormat="1" x14ac:dyDescent="0.25">
      <c r="R352" s="175"/>
      <c r="S352" s="175"/>
      <c r="T352" s="175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  <c r="AT352" s="90"/>
    </row>
    <row r="353" spans="18:46" s="54" customFormat="1" x14ac:dyDescent="0.25">
      <c r="R353" s="175"/>
      <c r="S353" s="175"/>
      <c r="T353" s="175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  <c r="AT353" s="90"/>
    </row>
    <row r="354" spans="18:46" s="54" customFormat="1" x14ac:dyDescent="0.25">
      <c r="R354" s="175"/>
      <c r="S354" s="175"/>
      <c r="T354" s="175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  <c r="AT354" s="90"/>
    </row>
    <row r="355" spans="18:46" s="54" customFormat="1" x14ac:dyDescent="0.25">
      <c r="R355" s="175"/>
      <c r="S355" s="175"/>
      <c r="T355" s="175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  <c r="AT355" s="90"/>
    </row>
    <row r="356" spans="18:46" s="54" customFormat="1" x14ac:dyDescent="0.25">
      <c r="R356" s="175"/>
      <c r="S356" s="175"/>
      <c r="T356" s="175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  <c r="AT356" s="90"/>
    </row>
    <row r="357" spans="18:46" s="54" customFormat="1" x14ac:dyDescent="0.25">
      <c r="R357" s="175"/>
      <c r="S357" s="175"/>
      <c r="T357" s="175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  <c r="AT357" s="90"/>
    </row>
    <row r="358" spans="18:46" s="54" customFormat="1" x14ac:dyDescent="0.25">
      <c r="R358" s="175"/>
      <c r="S358" s="175"/>
      <c r="T358" s="175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</row>
    <row r="359" spans="18:46" s="54" customFormat="1" x14ac:dyDescent="0.25">
      <c r="R359" s="175"/>
      <c r="S359" s="175"/>
      <c r="T359" s="175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</row>
    <row r="360" spans="18:46" s="54" customFormat="1" x14ac:dyDescent="0.25">
      <c r="R360" s="175"/>
      <c r="S360" s="175"/>
      <c r="T360" s="175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</row>
    <row r="361" spans="18:46" s="54" customFormat="1" x14ac:dyDescent="0.25">
      <c r="R361" s="175"/>
      <c r="S361" s="175"/>
      <c r="T361" s="175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</row>
    <row r="362" spans="18:46" s="54" customFormat="1" x14ac:dyDescent="0.25">
      <c r="R362" s="175"/>
      <c r="S362" s="175"/>
      <c r="T362" s="175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</row>
    <row r="363" spans="18:46" s="54" customFormat="1" x14ac:dyDescent="0.25">
      <c r="R363" s="175"/>
      <c r="S363" s="175"/>
      <c r="T363" s="175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</row>
    <row r="364" spans="18:46" s="54" customFormat="1" x14ac:dyDescent="0.25">
      <c r="R364" s="175"/>
      <c r="S364" s="175"/>
      <c r="T364" s="175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</row>
    <row r="365" spans="18:46" s="54" customFormat="1" x14ac:dyDescent="0.25">
      <c r="R365" s="175"/>
      <c r="S365" s="175"/>
      <c r="T365" s="175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</row>
    <row r="366" spans="18:46" s="54" customFormat="1" x14ac:dyDescent="0.25">
      <c r="R366" s="175"/>
      <c r="S366" s="175"/>
      <c r="T366" s="175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</row>
    <row r="367" spans="18:46" s="54" customFormat="1" x14ac:dyDescent="0.25">
      <c r="R367" s="175"/>
      <c r="S367" s="175"/>
      <c r="T367" s="175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</row>
    <row r="368" spans="18:46" s="54" customFormat="1" x14ac:dyDescent="0.25">
      <c r="R368" s="175"/>
      <c r="S368" s="175"/>
      <c r="T368" s="175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</row>
    <row r="369" spans="18:46" s="54" customFormat="1" x14ac:dyDescent="0.25">
      <c r="R369" s="175"/>
      <c r="S369" s="175"/>
      <c r="T369" s="175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</row>
    <row r="370" spans="18:46" s="54" customFormat="1" x14ac:dyDescent="0.25">
      <c r="R370" s="175"/>
      <c r="S370" s="175"/>
      <c r="T370" s="175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</row>
    <row r="371" spans="18:46" s="54" customFormat="1" x14ac:dyDescent="0.25">
      <c r="R371" s="175"/>
      <c r="S371" s="175"/>
      <c r="T371" s="175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</row>
    <row r="372" spans="18:46" s="54" customFormat="1" x14ac:dyDescent="0.25">
      <c r="R372" s="175"/>
      <c r="S372" s="175"/>
      <c r="T372" s="175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</row>
    <row r="373" spans="18:46" s="54" customFormat="1" x14ac:dyDescent="0.25">
      <c r="R373" s="175"/>
      <c r="S373" s="175"/>
      <c r="T373" s="175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</row>
    <row r="374" spans="18:46" s="54" customFormat="1" x14ac:dyDescent="0.25">
      <c r="R374" s="175"/>
      <c r="S374" s="175"/>
      <c r="T374" s="175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</row>
    <row r="375" spans="18:46" s="54" customFormat="1" x14ac:dyDescent="0.25">
      <c r="R375" s="175"/>
      <c r="S375" s="175"/>
      <c r="T375" s="175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</row>
    <row r="376" spans="18:46" s="54" customFormat="1" x14ac:dyDescent="0.25">
      <c r="R376" s="175"/>
      <c r="S376" s="175"/>
      <c r="T376" s="175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</row>
    <row r="377" spans="18:46" s="54" customFormat="1" x14ac:dyDescent="0.25">
      <c r="R377" s="175"/>
      <c r="S377" s="175"/>
      <c r="T377" s="175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</row>
    <row r="378" spans="18:46" s="54" customFormat="1" x14ac:dyDescent="0.25">
      <c r="R378" s="175"/>
      <c r="S378" s="175"/>
      <c r="T378" s="175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  <c r="AT378" s="90"/>
    </row>
    <row r="379" spans="18:46" s="54" customFormat="1" x14ac:dyDescent="0.25">
      <c r="R379" s="175"/>
      <c r="S379" s="175"/>
      <c r="T379" s="175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  <c r="AT379" s="90"/>
    </row>
    <row r="380" spans="18:46" s="54" customFormat="1" x14ac:dyDescent="0.25">
      <c r="R380" s="175"/>
      <c r="S380" s="175"/>
      <c r="T380" s="175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  <c r="AT380" s="90"/>
    </row>
    <row r="381" spans="18:46" s="54" customFormat="1" x14ac:dyDescent="0.25">
      <c r="R381" s="175"/>
      <c r="S381" s="175"/>
      <c r="T381" s="175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  <c r="AT381" s="90"/>
    </row>
    <row r="382" spans="18:46" s="54" customFormat="1" x14ac:dyDescent="0.25">
      <c r="R382" s="175"/>
      <c r="S382" s="175"/>
      <c r="T382" s="175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  <c r="AT382" s="90"/>
    </row>
    <row r="383" spans="18:46" s="54" customFormat="1" x14ac:dyDescent="0.25">
      <c r="R383" s="175"/>
      <c r="S383" s="175"/>
      <c r="T383" s="175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  <c r="AT383" s="90"/>
    </row>
    <row r="384" spans="18:46" s="54" customFormat="1" x14ac:dyDescent="0.25">
      <c r="R384" s="175"/>
      <c r="S384" s="175"/>
      <c r="T384" s="175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  <c r="AT384" s="90"/>
    </row>
    <row r="385" spans="18:46" s="54" customFormat="1" x14ac:dyDescent="0.25">
      <c r="R385" s="175"/>
      <c r="S385" s="175"/>
      <c r="T385" s="175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  <c r="AT385" s="90"/>
    </row>
    <row r="386" spans="18:46" s="54" customFormat="1" x14ac:dyDescent="0.25">
      <c r="R386" s="175"/>
      <c r="S386" s="175"/>
      <c r="T386" s="175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  <c r="AT386" s="90"/>
    </row>
    <row r="387" spans="18:46" s="54" customFormat="1" x14ac:dyDescent="0.25">
      <c r="R387" s="175"/>
      <c r="S387" s="175"/>
      <c r="T387" s="175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  <c r="AT387" s="90"/>
    </row>
    <row r="388" spans="18:46" s="54" customFormat="1" x14ac:dyDescent="0.25">
      <c r="R388" s="175"/>
      <c r="S388" s="175"/>
      <c r="T388" s="175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  <c r="AT388" s="90"/>
    </row>
    <row r="389" spans="18:46" s="54" customFormat="1" x14ac:dyDescent="0.25">
      <c r="R389" s="175"/>
      <c r="S389" s="175"/>
      <c r="T389" s="175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  <c r="AT389" s="90"/>
    </row>
    <row r="390" spans="18:46" s="54" customFormat="1" x14ac:dyDescent="0.25">
      <c r="R390" s="175"/>
      <c r="S390" s="175"/>
      <c r="T390" s="175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  <c r="AT390" s="90"/>
    </row>
    <row r="391" spans="18:46" s="54" customFormat="1" x14ac:dyDescent="0.25">
      <c r="R391" s="175"/>
      <c r="S391" s="175"/>
      <c r="T391" s="175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  <c r="AT391" s="90"/>
    </row>
    <row r="392" spans="18:46" s="54" customFormat="1" x14ac:dyDescent="0.25">
      <c r="R392" s="175"/>
      <c r="S392" s="175"/>
      <c r="T392" s="175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  <c r="AT392" s="90"/>
    </row>
    <row r="393" spans="18:46" s="54" customFormat="1" x14ac:dyDescent="0.25">
      <c r="R393" s="175"/>
      <c r="S393" s="175"/>
      <c r="T393" s="175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  <c r="AT393" s="90"/>
    </row>
    <row r="394" spans="18:46" s="54" customFormat="1" x14ac:dyDescent="0.25">
      <c r="R394" s="175"/>
      <c r="S394" s="175"/>
      <c r="T394" s="175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  <c r="AT394" s="90"/>
    </row>
    <row r="395" spans="18:46" s="54" customFormat="1" x14ac:dyDescent="0.25">
      <c r="R395" s="175"/>
      <c r="S395" s="175"/>
      <c r="T395" s="175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  <c r="AT395" s="90"/>
    </row>
    <row r="396" spans="18:46" s="54" customFormat="1" x14ac:dyDescent="0.25">
      <c r="R396" s="175"/>
      <c r="S396" s="175"/>
      <c r="T396" s="175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  <c r="AT396" s="90"/>
    </row>
    <row r="397" spans="18:46" s="54" customFormat="1" x14ac:dyDescent="0.25">
      <c r="R397" s="175"/>
      <c r="S397" s="175"/>
      <c r="T397" s="175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  <c r="AT397" s="90"/>
    </row>
    <row r="398" spans="18:46" s="54" customFormat="1" x14ac:dyDescent="0.25">
      <c r="R398" s="175"/>
      <c r="S398" s="175"/>
      <c r="T398" s="175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  <c r="AT398" s="90"/>
    </row>
    <row r="399" spans="18:46" s="54" customFormat="1" x14ac:dyDescent="0.25">
      <c r="R399" s="175"/>
      <c r="S399" s="175"/>
      <c r="T399" s="175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</row>
    <row r="400" spans="18:46" s="54" customFormat="1" x14ac:dyDescent="0.25">
      <c r="R400" s="175"/>
      <c r="S400" s="175"/>
      <c r="T400" s="175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</row>
    <row r="401" spans="18:46" s="54" customFormat="1" x14ac:dyDescent="0.25">
      <c r="R401" s="175"/>
      <c r="S401" s="175"/>
      <c r="T401" s="175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</row>
    <row r="402" spans="18:46" s="54" customFormat="1" x14ac:dyDescent="0.25">
      <c r="R402" s="175"/>
      <c r="S402" s="175"/>
      <c r="T402" s="175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</row>
    <row r="403" spans="18:46" s="54" customFormat="1" x14ac:dyDescent="0.25">
      <c r="R403" s="175"/>
      <c r="S403" s="175"/>
      <c r="T403" s="175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</row>
    <row r="404" spans="18:46" s="54" customFormat="1" x14ac:dyDescent="0.25">
      <c r="R404" s="175"/>
      <c r="S404" s="175"/>
      <c r="T404" s="175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</row>
    <row r="405" spans="18:46" s="54" customFormat="1" x14ac:dyDescent="0.25">
      <c r="R405" s="175"/>
      <c r="S405" s="175"/>
      <c r="T405" s="175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</row>
    <row r="406" spans="18:46" s="54" customFormat="1" x14ac:dyDescent="0.25">
      <c r="R406" s="175"/>
      <c r="S406" s="175"/>
      <c r="T406" s="175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</row>
    <row r="407" spans="18:46" s="54" customFormat="1" x14ac:dyDescent="0.25">
      <c r="R407" s="175"/>
      <c r="S407" s="175"/>
      <c r="T407" s="175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</row>
    <row r="408" spans="18:46" s="54" customFormat="1" x14ac:dyDescent="0.25">
      <c r="R408" s="175"/>
      <c r="S408" s="175"/>
      <c r="T408" s="175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</row>
    <row r="409" spans="18:46" s="54" customFormat="1" x14ac:dyDescent="0.25">
      <c r="R409" s="175"/>
      <c r="S409" s="175"/>
      <c r="T409" s="175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</row>
    <row r="410" spans="18:46" s="54" customFormat="1" x14ac:dyDescent="0.25">
      <c r="R410" s="175"/>
      <c r="S410" s="175"/>
      <c r="T410" s="175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</row>
    <row r="411" spans="18:46" s="54" customFormat="1" x14ac:dyDescent="0.25">
      <c r="R411" s="175"/>
      <c r="S411" s="175"/>
      <c r="T411" s="175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</row>
    <row r="412" spans="18:46" s="54" customFormat="1" x14ac:dyDescent="0.25">
      <c r="R412" s="175"/>
      <c r="S412" s="175"/>
      <c r="T412" s="175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</row>
    <row r="413" spans="18:46" s="54" customFormat="1" x14ac:dyDescent="0.25">
      <c r="R413" s="175"/>
      <c r="S413" s="175"/>
      <c r="T413" s="175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</row>
    <row r="414" spans="18:46" s="54" customFormat="1" x14ac:dyDescent="0.25">
      <c r="R414" s="175"/>
      <c r="S414" s="175"/>
      <c r="T414" s="175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</row>
    <row r="415" spans="18:46" s="54" customFormat="1" x14ac:dyDescent="0.25">
      <c r="R415" s="175"/>
      <c r="S415" s="175"/>
      <c r="T415" s="175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</row>
    <row r="416" spans="18:46" s="54" customFormat="1" x14ac:dyDescent="0.25">
      <c r="R416" s="175"/>
      <c r="S416" s="175"/>
      <c r="T416" s="175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</row>
    <row r="417" spans="18:46" s="54" customFormat="1" x14ac:dyDescent="0.25">
      <c r="R417" s="175"/>
      <c r="S417" s="175"/>
      <c r="T417" s="175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</row>
    <row r="418" spans="18:46" s="54" customFormat="1" x14ac:dyDescent="0.25">
      <c r="R418" s="175"/>
      <c r="S418" s="175"/>
      <c r="T418" s="175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</row>
    <row r="419" spans="18:46" s="54" customFormat="1" x14ac:dyDescent="0.25">
      <c r="R419" s="175"/>
      <c r="S419" s="175"/>
      <c r="T419" s="175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  <c r="AT419" s="90"/>
    </row>
    <row r="420" spans="18:46" s="54" customFormat="1" x14ac:dyDescent="0.25">
      <c r="R420" s="175"/>
      <c r="S420" s="175"/>
      <c r="T420" s="175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  <c r="AT420" s="90"/>
    </row>
    <row r="421" spans="18:46" s="54" customFormat="1" x14ac:dyDescent="0.25">
      <c r="R421" s="175"/>
      <c r="S421" s="175"/>
      <c r="T421" s="175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  <c r="AT421" s="90"/>
    </row>
    <row r="422" spans="18:46" s="54" customFormat="1" x14ac:dyDescent="0.25">
      <c r="R422" s="175"/>
      <c r="S422" s="175"/>
      <c r="T422" s="175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  <c r="AT422" s="90"/>
    </row>
    <row r="423" spans="18:46" s="54" customFormat="1" x14ac:dyDescent="0.25">
      <c r="R423" s="175"/>
      <c r="S423" s="175"/>
      <c r="T423" s="175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  <c r="AT423" s="90"/>
    </row>
    <row r="424" spans="18:46" s="54" customFormat="1" x14ac:dyDescent="0.25">
      <c r="R424" s="175"/>
      <c r="S424" s="175"/>
      <c r="T424" s="175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  <c r="AT424" s="90"/>
    </row>
    <row r="425" spans="18:46" s="54" customFormat="1" x14ac:dyDescent="0.25">
      <c r="R425" s="175"/>
      <c r="S425" s="175"/>
      <c r="T425" s="175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  <c r="AT425" s="90"/>
    </row>
    <row r="426" spans="18:46" s="54" customFormat="1" x14ac:dyDescent="0.25">
      <c r="R426" s="175"/>
      <c r="S426" s="175"/>
      <c r="T426" s="175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  <c r="AT426" s="90"/>
    </row>
    <row r="427" spans="18:46" s="54" customFormat="1" x14ac:dyDescent="0.25">
      <c r="R427" s="175"/>
      <c r="S427" s="175"/>
      <c r="T427" s="175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  <c r="AT427" s="90"/>
    </row>
    <row r="428" spans="18:46" s="54" customFormat="1" x14ac:dyDescent="0.25">
      <c r="R428" s="175"/>
      <c r="S428" s="175"/>
      <c r="T428" s="175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  <c r="AT428" s="90"/>
    </row>
    <row r="429" spans="18:46" s="54" customFormat="1" x14ac:dyDescent="0.25">
      <c r="R429" s="175"/>
      <c r="S429" s="175"/>
      <c r="T429" s="175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  <c r="AT429" s="90"/>
    </row>
    <row r="430" spans="18:46" s="54" customFormat="1" x14ac:dyDescent="0.25">
      <c r="R430" s="175"/>
      <c r="S430" s="175"/>
      <c r="T430" s="175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  <c r="AT430" s="90"/>
    </row>
    <row r="431" spans="18:46" s="54" customFormat="1" x14ac:dyDescent="0.25">
      <c r="R431" s="175"/>
      <c r="S431" s="175"/>
      <c r="T431" s="175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  <c r="AT431" s="90"/>
    </row>
    <row r="432" spans="18:46" s="54" customFormat="1" x14ac:dyDescent="0.25">
      <c r="R432" s="175"/>
      <c r="S432" s="175"/>
      <c r="T432" s="175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  <c r="AT432" s="90"/>
    </row>
    <row r="433" spans="18:46" s="54" customFormat="1" x14ac:dyDescent="0.25">
      <c r="R433" s="175"/>
      <c r="S433" s="175"/>
      <c r="T433" s="175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  <c r="AT433" s="90"/>
    </row>
    <row r="434" spans="18:46" s="54" customFormat="1" x14ac:dyDescent="0.25">
      <c r="R434" s="175"/>
      <c r="S434" s="175"/>
      <c r="T434" s="175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  <c r="AT434" s="90"/>
    </row>
    <row r="435" spans="18:46" s="54" customFormat="1" x14ac:dyDescent="0.25">
      <c r="R435" s="175"/>
      <c r="S435" s="175"/>
      <c r="T435" s="175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  <c r="AT435" s="90"/>
    </row>
    <row r="436" spans="18:46" s="54" customFormat="1" x14ac:dyDescent="0.25">
      <c r="R436" s="175"/>
      <c r="S436" s="175"/>
      <c r="T436" s="175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  <c r="AT436" s="90"/>
    </row>
    <row r="437" spans="18:46" s="54" customFormat="1" x14ac:dyDescent="0.25">
      <c r="R437" s="175"/>
      <c r="S437" s="175"/>
      <c r="T437" s="175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  <c r="AT437" s="90"/>
    </row>
    <row r="438" spans="18:46" s="54" customFormat="1" x14ac:dyDescent="0.25">
      <c r="R438" s="175"/>
      <c r="S438" s="175"/>
      <c r="T438" s="175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</row>
    <row r="439" spans="18:46" s="54" customFormat="1" x14ac:dyDescent="0.25">
      <c r="R439" s="175"/>
      <c r="S439" s="175"/>
      <c r="T439" s="175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</row>
    <row r="440" spans="18:46" s="54" customFormat="1" x14ac:dyDescent="0.25">
      <c r="R440" s="175"/>
      <c r="S440" s="175"/>
      <c r="T440" s="175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</row>
    <row r="441" spans="18:46" s="54" customFormat="1" x14ac:dyDescent="0.25">
      <c r="R441" s="175"/>
      <c r="S441" s="175"/>
      <c r="T441" s="175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</row>
    <row r="442" spans="18:46" s="54" customFormat="1" x14ac:dyDescent="0.25">
      <c r="R442" s="175"/>
      <c r="S442" s="175"/>
      <c r="T442" s="175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</row>
    <row r="443" spans="18:46" s="54" customFormat="1" x14ac:dyDescent="0.25">
      <c r="R443" s="175"/>
      <c r="S443" s="175"/>
      <c r="T443" s="175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</row>
  </sheetData>
  <autoFilter ref="A14:BO37" xr:uid="{CF718BF7-B135-4EF1-AF0E-EA724CBD26AC}"/>
  <mergeCells count="16">
    <mergeCell ref="R13:T13"/>
    <mergeCell ref="E40:I40"/>
    <mergeCell ref="M40:P40"/>
    <mergeCell ref="A1:Q1"/>
    <mergeCell ref="A3:Q3"/>
    <mergeCell ref="A4:Q4"/>
    <mergeCell ref="A13:A14"/>
    <mergeCell ref="B13:B14"/>
    <mergeCell ref="C13:C14"/>
    <mergeCell ref="D13:D14"/>
    <mergeCell ref="E13:E14"/>
    <mergeCell ref="F13:F14"/>
    <mergeCell ref="G13:G14"/>
    <mergeCell ref="H13:H14"/>
    <mergeCell ref="I13:L13"/>
    <mergeCell ref="M13:Q13"/>
  </mergeCells>
  <conditionalFormatting sqref="C15">
    <cfRule type="expression" priority="10" stopIfTrue="1">
      <formula>#REF!</formula>
    </cfRule>
  </conditionalFormatting>
  <conditionalFormatting sqref="C32">
    <cfRule type="expression" priority="2" stopIfTrue="1">
      <formula>#REF!</formula>
    </cfRule>
  </conditionalFormatting>
  <conditionalFormatting sqref="C35:C36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895F8-9054-4FBF-8474-96A7F15BEE2F}">
  <sheetPr>
    <tabColor rgb="FF00B050"/>
    <pageSetUpPr fitToPage="1"/>
  </sheetPr>
  <dimension ref="A1:BO442"/>
  <sheetViews>
    <sheetView showZeros="0" topLeftCell="A10" zoomScale="90" zoomScaleNormal="90" workbookViewId="0">
      <selection activeCell="G35" sqref="G15:Q35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4" width="10.7109375" style="4" customWidth="1"/>
    <col min="5" max="8" width="8.28515625" style="4" customWidth="1"/>
    <col min="9" max="16" width="10.7109375" style="4" customWidth="1"/>
    <col min="17" max="17" width="13.28515625" style="4" customWidth="1"/>
    <col min="18" max="20" width="5.7109375" style="175" customWidth="1" outlineLevel="1"/>
    <col min="21" max="23" width="10.7109375" style="90" customWidth="1" outlineLevel="1"/>
    <col min="24" max="44" width="10.7109375" style="90" customWidth="1"/>
    <col min="45" max="46" width="8.85546875" style="90"/>
    <col min="47" max="67" width="8.85546875" style="54"/>
    <col min="68" max="16384" width="8.85546875" style="4"/>
  </cols>
  <sheetData>
    <row r="1" spans="1:20" ht="15" x14ac:dyDescent="0.2">
      <c r="A1" s="408" t="s">
        <v>383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</row>
    <row r="2" spans="1:20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0" ht="15" x14ac:dyDescent="0.2">
      <c r="A3" s="409" t="str">
        <f>Kopsavilkums!C33</f>
        <v>Ūdensapgāde un kanalizācija (ārējā) - UKT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</row>
    <row r="4" spans="1:20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</row>
    <row r="5" spans="1:20" x14ac:dyDescent="0.2">
      <c r="A5" s="5"/>
      <c r="B5" s="5"/>
      <c r="C5" s="5"/>
      <c r="D5" s="6"/>
      <c r="E5" s="6"/>
      <c r="F5" s="6"/>
      <c r="G5" s="6"/>
      <c r="H5" s="6"/>
      <c r="I5" s="7"/>
      <c r="J5" s="7"/>
      <c r="K5" s="7"/>
      <c r="L5" s="7"/>
      <c r="M5" s="7"/>
      <c r="N5" s="7"/>
      <c r="O5" s="7"/>
      <c r="P5" s="7"/>
      <c r="Q5" s="7"/>
    </row>
    <row r="6" spans="1:20" x14ac:dyDescent="0.2">
      <c r="A6" s="1" t="s">
        <v>64</v>
      </c>
      <c r="B6" s="8"/>
      <c r="C6" s="9"/>
      <c r="D6" s="10"/>
      <c r="E6" s="10"/>
      <c r="F6" s="5"/>
      <c r="G6" s="10"/>
      <c r="H6" s="10"/>
      <c r="I6" s="11"/>
      <c r="J6" s="11"/>
      <c r="K6" s="11"/>
      <c r="L6" s="11"/>
      <c r="M6" s="11"/>
      <c r="N6" s="11"/>
      <c r="O6" s="11"/>
      <c r="P6" s="11"/>
      <c r="Q6" s="11"/>
    </row>
    <row r="7" spans="1:20" x14ac:dyDescent="0.2">
      <c r="A7" s="1" t="s">
        <v>65</v>
      </c>
      <c r="B7" s="8"/>
      <c r="C7" s="12"/>
      <c r="D7" s="10"/>
      <c r="E7" s="10"/>
      <c r="F7" s="5"/>
      <c r="G7" s="10"/>
      <c r="H7" s="10"/>
      <c r="I7" s="11"/>
      <c r="J7" s="13"/>
      <c r="K7" s="11"/>
      <c r="L7" s="11"/>
      <c r="M7" s="11"/>
      <c r="N7" s="11"/>
      <c r="O7" s="11"/>
      <c r="P7" s="11"/>
      <c r="Q7" s="11"/>
    </row>
    <row r="8" spans="1:20" x14ac:dyDescent="0.2">
      <c r="A8" s="2" t="s">
        <v>66</v>
      </c>
      <c r="B8" s="8"/>
      <c r="C8" s="12"/>
      <c r="D8" s="10"/>
      <c r="E8" s="10"/>
      <c r="F8" s="5"/>
      <c r="G8" s="10"/>
      <c r="H8" s="10"/>
      <c r="I8" s="11"/>
      <c r="J8" s="13"/>
      <c r="K8" s="11"/>
      <c r="L8" s="11"/>
      <c r="M8" s="11"/>
      <c r="N8" s="11"/>
      <c r="O8" s="11"/>
      <c r="P8" s="11"/>
      <c r="Q8" s="11"/>
    </row>
    <row r="9" spans="1:20" x14ac:dyDescent="0.2">
      <c r="A9" s="1" t="s">
        <v>54</v>
      </c>
      <c r="B9" s="8"/>
      <c r="C9" s="8"/>
      <c r="D9" s="10"/>
      <c r="E9" s="10"/>
      <c r="F9" s="14"/>
      <c r="G9" s="10"/>
      <c r="H9" s="10"/>
      <c r="I9" s="5"/>
      <c r="J9" s="15"/>
      <c r="K9" s="5"/>
      <c r="L9" s="16"/>
      <c r="M9" s="11"/>
      <c r="N9" s="11"/>
      <c r="O9" s="11"/>
      <c r="P9" s="17" t="s">
        <v>0</v>
      </c>
      <c r="Q9" s="18">
        <f>Q36</f>
        <v>0</v>
      </c>
    </row>
    <row r="10" spans="1:20" ht="4.9000000000000004" customHeight="1" x14ac:dyDescent="0.2">
      <c r="A10" s="8"/>
      <c r="B10" s="8"/>
      <c r="C10" s="8"/>
      <c r="D10" s="10"/>
      <c r="E10" s="10"/>
      <c r="F10" s="10"/>
      <c r="G10" s="10"/>
      <c r="H10" s="10"/>
      <c r="I10" s="5"/>
      <c r="J10" s="15"/>
      <c r="K10" s="5"/>
      <c r="L10" s="19"/>
      <c r="M10" s="11"/>
      <c r="N10" s="11"/>
      <c r="O10" s="11"/>
      <c r="P10" s="11"/>
      <c r="Q10" s="11"/>
    </row>
    <row r="11" spans="1:20" x14ac:dyDescent="0.2">
      <c r="A11" s="107" t="s">
        <v>67</v>
      </c>
      <c r="B11" s="20"/>
      <c r="C11" s="21"/>
      <c r="D11" s="10"/>
      <c r="E11" s="10"/>
      <c r="F11" s="10"/>
      <c r="G11" s="10"/>
      <c r="H11" s="10"/>
      <c r="I11" s="11"/>
      <c r="J11" s="11"/>
      <c r="K11" s="11"/>
      <c r="L11" s="11"/>
      <c r="M11" s="11"/>
      <c r="N11" s="11"/>
      <c r="O11" s="11"/>
      <c r="P11" s="11"/>
      <c r="Q11" s="22" t="str">
        <f>Kopsavilkums!H$9</f>
        <v xml:space="preserve">Tāme sastādīta: </v>
      </c>
    </row>
    <row r="12" spans="1:20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3"/>
      <c r="I12" s="24"/>
      <c r="J12" s="24"/>
      <c r="K12" s="24"/>
      <c r="L12" s="24"/>
      <c r="M12" s="24"/>
      <c r="N12" s="24"/>
      <c r="O12" s="24"/>
      <c r="P12" s="24"/>
      <c r="Q12" s="24"/>
    </row>
    <row r="13" spans="1:20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47</v>
      </c>
      <c r="E13" s="416" t="s">
        <v>4</v>
      </c>
      <c r="F13" s="418" t="s">
        <v>5</v>
      </c>
      <c r="G13" s="412" t="s">
        <v>6</v>
      </c>
      <c r="H13" s="420" t="s">
        <v>19</v>
      </c>
      <c r="I13" s="404" t="s">
        <v>7</v>
      </c>
      <c r="J13" s="405"/>
      <c r="K13" s="405"/>
      <c r="L13" s="406"/>
      <c r="M13" s="405" t="s">
        <v>8</v>
      </c>
      <c r="N13" s="405"/>
      <c r="O13" s="405"/>
      <c r="P13" s="405"/>
      <c r="Q13" s="406"/>
      <c r="R13" s="403"/>
      <c r="S13" s="403"/>
      <c r="T13" s="403"/>
    </row>
    <row r="14" spans="1:20" ht="34.9" customHeight="1" thickBot="1" x14ac:dyDescent="0.25">
      <c r="A14" s="422"/>
      <c r="B14" s="423"/>
      <c r="C14" s="423"/>
      <c r="D14" s="424"/>
      <c r="E14" s="424"/>
      <c r="F14" s="425"/>
      <c r="G14" s="413"/>
      <c r="H14" s="421"/>
      <c r="I14" s="56" t="s">
        <v>17</v>
      </c>
      <c r="J14" s="60" t="s">
        <v>16</v>
      </c>
      <c r="K14" s="57" t="s">
        <v>15</v>
      </c>
      <c r="L14" s="58" t="s">
        <v>18</v>
      </c>
      <c r="M14" s="58" t="s">
        <v>9</v>
      </c>
      <c r="N14" s="56" t="s">
        <v>17</v>
      </c>
      <c r="O14" s="60" t="s">
        <v>16</v>
      </c>
      <c r="P14" s="57" t="s">
        <v>15</v>
      </c>
      <c r="Q14" s="59" t="s">
        <v>14</v>
      </c>
      <c r="R14" s="196"/>
      <c r="S14" s="196"/>
      <c r="T14" s="196"/>
    </row>
    <row r="15" spans="1:20" ht="25.5" x14ac:dyDescent="0.2">
      <c r="A15" s="340"/>
      <c r="B15" s="198"/>
      <c r="C15" s="199" t="str">
        <f>A3</f>
        <v>Ūdensapgāde un kanalizācija (ārējā) - UKT</v>
      </c>
      <c r="D15" s="200"/>
      <c r="E15" s="201"/>
      <c r="F15" s="202"/>
      <c r="G15" s="119"/>
      <c r="H15" s="61"/>
      <c r="I15" s="26"/>
      <c r="J15" s="27"/>
      <c r="K15" s="27"/>
      <c r="L15" s="25"/>
      <c r="M15" s="25"/>
      <c r="N15" s="26"/>
      <c r="O15" s="27"/>
      <c r="P15" s="28"/>
      <c r="Q15" s="29"/>
    </row>
    <row r="16" spans="1:20" x14ac:dyDescent="0.2">
      <c r="A16" s="345"/>
      <c r="B16" s="263"/>
      <c r="C16" s="264" t="s">
        <v>221</v>
      </c>
      <c r="D16" s="265"/>
      <c r="E16" s="263"/>
      <c r="F16" s="266"/>
      <c r="G16" s="119"/>
      <c r="H16" s="61"/>
      <c r="I16" s="26"/>
      <c r="J16" s="27"/>
      <c r="K16" s="27"/>
      <c r="L16" s="25"/>
      <c r="M16" s="25"/>
      <c r="N16" s="26"/>
      <c r="O16" s="27"/>
      <c r="P16" s="28"/>
      <c r="Q16" s="29"/>
    </row>
    <row r="17" spans="1:17" ht="21" x14ac:dyDescent="0.2">
      <c r="A17" s="345">
        <v>1</v>
      </c>
      <c r="B17" s="263"/>
      <c r="C17" s="120" t="s">
        <v>222</v>
      </c>
      <c r="D17" s="123" t="s">
        <v>223</v>
      </c>
      <c r="E17" s="121" t="s">
        <v>44</v>
      </c>
      <c r="F17" s="126">
        <v>77</v>
      </c>
      <c r="G17" s="119"/>
      <c r="H17" s="61"/>
      <c r="I17" s="26"/>
      <c r="J17" s="27"/>
      <c r="K17" s="27"/>
      <c r="L17" s="25"/>
      <c r="M17" s="25"/>
      <c r="N17" s="26"/>
      <c r="O17" s="27"/>
      <c r="P17" s="28"/>
      <c r="Q17" s="29"/>
    </row>
    <row r="18" spans="1:17" x14ac:dyDescent="0.2">
      <c r="A18" s="345">
        <v>2</v>
      </c>
      <c r="B18" s="263"/>
      <c r="C18" s="120" t="s">
        <v>224</v>
      </c>
      <c r="D18" s="123" t="s">
        <v>225</v>
      </c>
      <c r="E18" s="121" t="s">
        <v>44</v>
      </c>
      <c r="F18" s="126">
        <v>16</v>
      </c>
      <c r="G18" s="119"/>
      <c r="H18" s="61"/>
      <c r="I18" s="26"/>
      <c r="J18" s="27"/>
      <c r="K18" s="27"/>
      <c r="L18" s="25"/>
      <c r="M18" s="25"/>
      <c r="N18" s="26"/>
      <c r="O18" s="27"/>
      <c r="P18" s="28"/>
      <c r="Q18" s="29"/>
    </row>
    <row r="19" spans="1:17" x14ac:dyDescent="0.2">
      <c r="A19" s="341">
        <v>3</v>
      </c>
      <c r="B19" s="121"/>
      <c r="C19" s="120" t="s">
        <v>226</v>
      </c>
      <c r="D19" s="123" t="s">
        <v>227</v>
      </c>
      <c r="E19" s="121" t="s">
        <v>163</v>
      </c>
      <c r="F19" s="126">
        <v>1</v>
      </c>
      <c r="G19" s="119"/>
      <c r="H19" s="61"/>
      <c r="I19" s="26"/>
      <c r="J19" s="27"/>
      <c r="K19" s="27"/>
      <c r="L19" s="25"/>
      <c r="M19" s="25"/>
      <c r="N19" s="26"/>
      <c r="O19" s="27"/>
      <c r="P19" s="28"/>
      <c r="Q19" s="29"/>
    </row>
    <row r="20" spans="1:17" ht="56.25" x14ac:dyDescent="0.2">
      <c r="A20" s="345">
        <v>4</v>
      </c>
      <c r="B20" s="263"/>
      <c r="C20" s="120" t="s">
        <v>228</v>
      </c>
      <c r="D20" s="123" t="s">
        <v>161</v>
      </c>
      <c r="E20" s="121" t="s">
        <v>175</v>
      </c>
      <c r="F20" s="126">
        <v>1</v>
      </c>
      <c r="G20" s="119"/>
      <c r="H20" s="61"/>
      <c r="I20" s="26"/>
      <c r="J20" s="27"/>
      <c r="K20" s="27"/>
      <c r="L20" s="25"/>
      <c r="M20" s="25"/>
      <c r="N20" s="26"/>
      <c r="O20" s="27"/>
      <c r="P20" s="28"/>
      <c r="Q20" s="29"/>
    </row>
    <row r="21" spans="1:17" x14ac:dyDescent="0.2">
      <c r="A21" s="345">
        <v>5</v>
      </c>
      <c r="B21" s="263"/>
      <c r="C21" s="120" t="s">
        <v>229</v>
      </c>
      <c r="D21" s="123" t="s">
        <v>230</v>
      </c>
      <c r="E21" s="121" t="s">
        <v>177</v>
      </c>
      <c r="F21" s="126">
        <v>1</v>
      </c>
      <c r="G21" s="119"/>
      <c r="H21" s="61"/>
      <c r="I21" s="26"/>
      <c r="J21" s="27"/>
      <c r="K21" s="27"/>
      <c r="L21" s="25"/>
      <c r="M21" s="25"/>
      <c r="N21" s="26"/>
      <c r="O21" s="27"/>
      <c r="P21" s="28"/>
      <c r="Q21" s="29"/>
    </row>
    <row r="22" spans="1:17" ht="22.5" x14ac:dyDescent="0.2">
      <c r="A22" s="345">
        <v>6</v>
      </c>
      <c r="B22" s="121"/>
      <c r="C22" s="120" t="s">
        <v>231</v>
      </c>
      <c r="D22" s="123"/>
      <c r="E22" s="121" t="s">
        <v>244</v>
      </c>
      <c r="F22" s="126">
        <v>39</v>
      </c>
      <c r="G22" s="119"/>
      <c r="H22" s="61"/>
      <c r="I22" s="26"/>
      <c r="J22" s="27"/>
      <c r="K22" s="27"/>
      <c r="L22" s="25"/>
      <c r="M22" s="25"/>
      <c r="N22" s="26"/>
      <c r="O22" s="27"/>
      <c r="P22" s="28"/>
      <c r="Q22" s="29"/>
    </row>
    <row r="23" spans="1:17" ht="22.5" x14ac:dyDescent="0.2">
      <c r="A23" s="341">
        <v>7</v>
      </c>
      <c r="B23" s="263"/>
      <c r="C23" s="120" t="s">
        <v>232</v>
      </c>
      <c r="D23" s="123"/>
      <c r="E23" s="121" t="s">
        <v>44</v>
      </c>
      <c r="F23" s="126">
        <v>77</v>
      </c>
      <c r="G23" s="119"/>
      <c r="H23" s="61"/>
      <c r="I23" s="26"/>
      <c r="J23" s="27"/>
      <c r="K23" s="27"/>
      <c r="L23" s="25"/>
      <c r="M23" s="25"/>
      <c r="N23" s="26"/>
      <c r="O23" s="27"/>
      <c r="P23" s="28"/>
      <c r="Q23" s="29"/>
    </row>
    <row r="24" spans="1:17" ht="22.5" x14ac:dyDescent="0.2">
      <c r="A24" s="345">
        <v>8</v>
      </c>
      <c r="B24" s="263"/>
      <c r="C24" s="120" t="s">
        <v>233</v>
      </c>
      <c r="D24" s="123"/>
      <c r="E24" s="121" t="s">
        <v>44</v>
      </c>
      <c r="F24" s="126">
        <v>77</v>
      </c>
      <c r="G24" s="119"/>
      <c r="H24" s="61"/>
      <c r="I24" s="26"/>
      <c r="J24" s="27"/>
      <c r="K24" s="27"/>
      <c r="L24" s="25"/>
      <c r="M24" s="25"/>
      <c r="N24" s="26"/>
      <c r="O24" s="27"/>
      <c r="P24" s="28"/>
      <c r="Q24" s="29"/>
    </row>
    <row r="25" spans="1:17" x14ac:dyDescent="0.2">
      <c r="A25" s="345"/>
      <c r="B25" s="263"/>
      <c r="C25" s="264" t="s">
        <v>203</v>
      </c>
      <c r="D25" s="123"/>
      <c r="E25" s="263"/>
      <c r="F25" s="203"/>
      <c r="G25" s="119"/>
      <c r="H25" s="61"/>
      <c r="I25" s="26"/>
      <c r="J25" s="27"/>
      <c r="K25" s="27"/>
      <c r="L25" s="25"/>
      <c r="M25" s="25"/>
      <c r="N25" s="26"/>
      <c r="O25" s="27"/>
      <c r="P25" s="28"/>
      <c r="Q25" s="29"/>
    </row>
    <row r="26" spans="1:17" x14ac:dyDescent="0.2">
      <c r="A26" s="345">
        <v>9</v>
      </c>
      <c r="B26" s="263"/>
      <c r="C26" s="120" t="s">
        <v>234</v>
      </c>
      <c r="D26" s="123" t="s">
        <v>235</v>
      </c>
      <c r="E26" s="263" t="s">
        <v>44</v>
      </c>
      <c r="F26" s="126">
        <v>6</v>
      </c>
      <c r="G26" s="119"/>
      <c r="H26" s="61"/>
      <c r="I26" s="26"/>
      <c r="J26" s="27"/>
      <c r="K26" s="27"/>
      <c r="L26" s="25"/>
      <c r="M26" s="25"/>
      <c r="N26" s="26"/>
      <c r="O26" s="27"/>
      <c r="P26" s="28"/>
      <c r="Q26" s="29"/>
    </row>
    <row r="27" spans="1:17" x14ac:dyDescent="0.2">
      <c r="A27" s="345">
        <v>10</v>
      </c>
      <c r="B27" s="263"/>
      <c r="C27" s="120" t="s">
        <v>236</v>
      </c>
      <c r="D27" s="123" t="s">
        <v>235</v>
      </c>
      <c r="E27" s="263" t="s">
        <v>237</v>
      </c>
      <c r="F27" s="126">
        <v>1</v>
      </c>
      <c r="G27" s="119"/>
      <c r="H27" s="61"/>
      <c r="I27" s="26"/>
      <c r="J27" s="27"/>
      <c r="K27" s="27"/>
      <c r="L27" s="25"/>
      <c r="M27" s="25"/>
      <c r="N27" s="26"/>
      <c r="O27" s="27"/>
      <c r="P27" s="28"/>
      <c r="Q27" s="29"/>
    </row>
    <row r="28" spans="1:17" ht="45" x14ac:dyDescent="0.2">
      <c r="A28" s="345">
        <v>11</v>
      </c>
      <c r="B28" s="263"/>
      <c r="C28" s="120" t="s">
        <v>238</v>
      </c>
      <c r="D28" s="123" t="s">
        <v>239</v>
      </c>
      <c r="E28" s="121" t="s">
        <v>175</v>
      </c>
      <c r="F28" s="126">
        <v>1</v>
      </c>
      <c r="G28" s="119"/>
      <c r="H28" s="61"/>
      <c r="I28" s="26"/>
      <c r="J28" s="27"/>
      <c r="K28" s="27"/>
      <c r="L28" s="25"/>
      <c r="M28" s="25"/>
      <c r="N28" s="26"/>
      <c r="O28" s="27"/>
      <c r="P28" s="28"/>
      <c r="Q28" s="29"/>
    </row>
    <row r="29" spans="1:17" ht="21" x14ac:dyDescent="0.2">
      <c r="A29" s="345">
        <v>12</v>
      </c>
      <c r="B29" s="263"/>
      <c r="C29" s="120" t="s">
        <v>224</v>
      </c>
      <c r="D29" s="123" t="s">
        <v>240</v>
      </c>
      <c r="E29" s="121" t="s">
        <v>237</v>
      </c>
      <c r="F29" s="126">
        <v>1</v>
      </c>
      <c r="G29" s="119"/>
      <c r="H29" s="61"/>
      <c r="I29" s="26"/>
      <c r="J29" s="27"/>
      <c r="K29" s="27"/>
      <c r="L29" s="25"/>
      <c r="M29" s="25"/>
      <c r="N29" s="26"/>
      <c r="O29" s="27"/>
      <c r="P29" s="28"/>
      <c r="Q29" s="29"/>
    </row>
    <row r="30" spans="1:17" ht="22.5" x14ac:dyDescent="0.2">
      <c r="A30" s="345">
        <v>13</v>
      </c>
      <c r="B30" s="263"/>
      <c r="C30" s="120" t="s">
        <v>231</v>
      </c>
      <c r="D30" s="123"/>
      <c r="E30" s="121" t="s">
        <v>244</v>
      </c>
      <c r="F30" s="126">
        <v>3</v>
      </c>
      <c r="G30" s="119"/>
      <c r="H30" s="61"/>
      <c r="I30" s="26"/>
      <c r="J30" s="27"/>
      <c r="K30" s="27"/>
      <c r="L30" s="25"/>
      <c r="M30" s="25"/>
      <c r="N30" s="26"/>
      <c r="O30" s="27"/>
      <c r="P30" s="28"/>
      <c r="Q30" s="29"/>
    </row>
    <row r="31" spans="1:17" x14ac:dyDescent="0.2">
      <c r="A31" s="345">
        <v>14</v>
      </c>
      <c r="B31" s="263"/>
      <c r="C31" s="120" t="s">
        <v>241</v>
      </c>
      <c r="D31" s="123"/>
      <c r="E31" s="121" t="s">
        <v>44</v>
      </c>
      <c r="F31" s="126">
        <v>6</v>
      </c>
      <c r="G31" s="119"/>
      <c r="H31" s="61"/>
      <c r="I31" s="26"/>
      <c r="J31" s="27"/>
      <c r="K31" s="27"/>
      <c r="L31" s="25"/>
      <c r="M31" s="25"/>
      <c r="N31" s="26"/>
      <c r="O31" s="27"/>
      <c r="P31" s="28"/>
      <c r="Q31" s="29"/>
    </row>
    <row r="32" spans="1:17" ht="22.5" x14ac:dyDescent="0.2">
      <c r="A32" s="345">
        <v>15</v>
      </c>
      <c r="B32" s="263"/>
      <c r="C32" s="120" t="s">
        <v>232</v>
      </c>
      <c r="D32" s="123"/>
      <c r="E32" s="121" t="s">
        <v>44</v>
      </c>
      <c r="F32" s="126">
        <v>6</v>
      </c>
      <c r="G32" s="119"/>
      <c r="H32" s="61"/>
      <c r="I32" s="26"/>
      <c r="J32" s="27"/>
      <c r="K32" s="27"/>
      <c r="L32" s="25"/>
      <c r="M32" s="25"/>
      <c r="N32" s="26"/>
      <c r="O32" s="27"/>
      <c r="P32" s="28"/>
      <c r="Q32" s="29"/>
    </row>
    <row r="33" spans="1:46" x14ac:dyDescent="0.2">
      <c r="A33" s="341"/>
      <c r="B33" s="121"/>
      <c r="C33" s="132" t="s">
        <v>217</v>
      </c>
      <c r="D33" s="123"/>
      <c r="E33" s="121"/>
      <c r="F33" s="203"/>
      <c r="G33" s="119"/>
      <c r="H33" s="61"/>
      <c r="I33" s="26"/>
      <c r="J33" s="27"/>
      <c r="K33" s="27"/>
      <c r="L33" s="25"/>
      <c r="M33" s="25"/>
      <c r="N33" s="26"/>
      <c r="O33" s="27"/>
      <c r="P33" s="28"/>
      <c r="Q33" s="29"/>
    </row>
    <row r="34" spans="1:46" x14ac:dyDescent="0.2">
      <c r="A34" s="341">
        <v>16</v>
      </c>
      <c r="B34" s="121"/>
      <c r="C34" s="120" t="s">
        <v>242</v>
      </c>
      <c r="D34" s="123"/>
      <c r="E34" s="121" t="s">
        <v>177</v>
      </c>
      <c r="F34" s="126">
        <v>1</v>
      </c>
      <c r="G34" s="119"/>
      <c r="H34" s="61"/>
      <c r="I34" s="26"/>
      <c r="J34" s="27"/>
      <c r="K34" s="27"/>
      <c r="L34" s="25"/>
      <c r="M34" s="25"/>
      <c r="N34" s="26"/>
      <c r="O34" s="27"/>
      <c r="P34" s="28"/>
      <c r="Q34" s="29"/>
    </row>
    <row r="35" spans="1:46" ht="23.25" thickBot="1" x14ac:dyDescent="0.25">
      <c r="A35" s="343">
        <v>17</v>
      </c>
      <c r="B35" s="135"/>
      <c r="C35" s="128" t="s">
        <v>243</v>
      </c>
      <c r="D35" s="131"/>
      <c r="E35" s="135" t="s">
        <v>177</v>
      </c>
      <c r="F35" s="127">
        <v>1</v>
      </c>
      <c r="G35" s="119"/>
      <c r="H35" s="61"/>
      <c r="I35" s="26"/>
      <c r="J35" s="27"/>
      <c r="K35" s="27"/>
      <c r="L35" s="25"/>
      <c r="M35" s="25"/>
      <c r="N35" s="26"/>
      <c r="O35" s="27"/>
      <c r="P35" s="28"/>
      <c r="Q35" s="29"/>
    </row>
    <row r="36" spans="1:46" ht="15" customHeight="1" thickBot="1" x14ac:dyDescent="0.25">
      <c r="A36" s="129"/>
      <c r="B36" s="130"/>
      <c r="C36" s="130"/>
      <c r="D36" s="130"/>
      <c r="E36" s="130"/>
      <c r="F36" s="130"/>
      <c r="G36" s="31"/>
      <c r="H36" s="31"/>
      <c r="I36" s="31"/>
      <c r="J36" s="31"/>
      <c r="K36" s="31"/>
      <c r="L36" s="32" t="s">
        <v>130</v>
      </c>
      <c r="M36" s="33">
        <f>ROUND(SUM(M15:M35),2)</f>
        <v>0</v>
      </c>
      <c r="N36" s="33">
        <f>ROUND(SUM(N15:N35),2)</f>
        <v>0</v>
      </c>
      <c r="O36" s="34">
        <f>ROUND(SUM(O15:O35),2)</f>
        <v>0</v>
      </c>
      <c r="P36" s="35">
        <f>ROUND(SUM(P15:P35),2)</f>
        <v>0</v>
      </c>
      <c r="Q36" s="36">
        <f>ROUND(SUM(Q15:Q35),2)</f>
        <v>0</v>
      </c>
    </row>
    <row r="37" spans="1:46" ht="34.9" customHeight="1" x14ac:dyDescent="0.2">
      <c r="A37" s="37"/>
      <c r="B37" s="7"/>
      <c r="C37" s="38"/>
      <c r="D37" s="39"/>
      <c r="E37" s="39"/>
      <c r="F37" s="5"/>
      <c r="G37" s="5"/>
      <c r="H37" s="5"/>
      <c r="I37" s="7"/>
      <c r="J37" s="7"/>
      <c r="K37" s="7"/>
      <c r="L37" s="7"/>
      <c r="M37" s="7"/>
      <c r="N37" s="7"/>
      <c r="O37" s="7"/>
      <c r="P37" s="7"/>
      <c r="Q37" s="7"/>
    </row>
    <row r="38" spans="1:46" x14ac:dyDescent="0.2">
      <c r="A38" s="40"/>
      <c r="B38" s="41"/>
      <c r="C38" s="41" t="s">
        <v>10</v>
      </c>
      <c r="D38" s="42"/>
      <c r="E38" s="42"/>
      <c r="F38" s="43"/>
      <c r="G38" s="44"/>
      <c r="H38" s="42"/>
      <c r="I38" s="45">
        <f>Kopsavilkums!C$43</f>
        <v>0</v>
      </c>
      <c r="J38" s="46" t="str">
        <f>Kopsavilkums!D$43</f>
        <v>datums</v>
      </c>
      <c r="K38" s="46"/>
      <c r="L38" s="41" t="s">
        <v>11</v>
      </c>
      <c r="M38" s="47"/>
      <c r="N38" s="44"/>
      <c r="O38" s="44"/>
      <c r="P38" s="45">
        <f>Kopsavilkums!C$48</f>
        <v>0</v>
      </c>
      <c r="Q38" s="46" t="str">
        <f>Kopsavilkums!D$48</f>
        <v>datums</v>
      </c>
    </row>
    <row r="39" spans="1:46" x14ac:dyDescent="0.2">
      <c r="A39" s="48"/>
      <c r="B39" s="49"/>
      <c r="C39" s="50"/>
      <c r="D39" s="50"/>
      <c r="E39" s="407" t="s">
        <v>12</v>
      </c>
      <c r="F39" s="407"/>
      <c r="G39" s="407"/>
      <c r="H39" s="407"/>
      <c r="I39" s="407"/>
      <c r="J39" s="7"/>
      <c r="K39" s="7"/>
      <c r="L39" s="7"/>
      <c r="M39" s="407" t="s">
        <v>12</v>
      </c>
      <c r="N39" s="407"/>
      <c r="O39" s="407"/>
      <c r="P39" s="407"/>
      <c r="Q39" s="7"/>
    </row>
    <row r="40" spans="1:46" x14ac:dyDescent="0.2">
      <c r="A40" s="37"/>
      <c r="B40" s="7"/>
      <c r="C40" s="38"/>
      <c r="D40" s="5"/>
      <c r="E40" s="5"/>
      <c r="F40" s="5"/>
      <c r="G40" s="5"/>
      <c r="H40" s="5"/>
      <c r="I40" s="7"/>
      <c r="J40" s="7"/>
      <c r="K40" s="7"/>
      <c r="L40" s="7"/>
      <c r="M40" s="7"/>
      <c r="N40" s="7"/>
      <c r="O40" s="7"/>
      <c r="P40" s="7"/>
      <c r="Q40" s="7"/>
    </row>
    <row r="41" spans="1:46" x14ac:dyDescent="0.2">
      <c r="A41" s="51"/>
      <c r="B41" s="46"/>
      <c r="C41" s="52"/>
      <c r="D41" s="52">
        <f>Kopsavilkums!A$46</f>
        <v>0</v>
      </c>
      <c r="E41" s="52" t="str">
        <f>Kopsavilkums!B$46</f>
        <v>-</v>
      </c>
      <c r="F41" s="5"/>
      <c r="G41" s="5"/>
      <c r="H41" s="5"/>
      <c r="I41" s="7"/>
      <c r="J41" s="7"/>
      <c r="K41" s="7"/>
      <c r="L41" s="7"/>
      <c r="M41" s="52" t="str">
        <f>Kopsavilkums!B$51</f>
        <v>Sert.Nr.</v>
      </c>
      <c r="N41" s="53"/>
      <c r="O41" s="7"/>
      <c r="P41" s="7"/>
      <c r="Q41" s="7"/>
    </row>
    <row r="42" spans="1:46" s="54" customFormat="1" x14ac:dyDescent="0.25">
      <c r="R42" s="175"/>
      <c r="S42" s="175"/>
      <c r="T42" s="175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</row>
    <row r="43" spans="1:46" s="54" customFormat="1" x14ac:dyDescent="0.25">
      <c r="R43" s="175"/>
      <c r="S43" s="175"/>
      <c r="T43" s="175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</row>
    <row r="44" spans="1:46" s="54" customFormat="1" x14ac:dyDescent="0.25">
      <c r="R44" s="175"/>
      <c r="S44" s="175"/>
      <c r="T44" s="175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</row>
    <row r="45" spans="1:46" s="54" customFormat="1" x14ac:dyDescent="0.25">
      <c r="R45" s="175"/>
      <c r="S45" s="175"/>
      <c r="T45" s="175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</row>
    <row r="46" spans="1:46" s="54" customFormat="1" x14ac:dyDescent="0.25">
      <c r="R46" s="175"/>
      <c r="S46" s="175"/>
      <c r="T46" s="175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</row>
    <row r="47" spans="1:46" s="54" customFormat="1" x14ac:dyDescent="0.25">
      <c r="R47" s="175"/>
      <c r="S47" s="175"/>
      <c r="T47" s="175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</row>
    <row r="48" spans="1:46" s="54" customFormat="1" x14ac:dyDescent="0.25">
      <c r="R48" s="175"/>
      <c r="S48" s="175"/>
      <c r="T48" s="175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</row>
    <row r="49" spans="18:46" s="54" customFormat="1" x14ac:dyDescent="0.25">
      <c r="R49" s="175"/>
      <c r="S49" s="175"/>
      <c r="T49" s="175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</row>
    <row r="50" spans="18:46" s="54" customFormat="1" x14ac:dyDescent="0.25">
      <c r="R50" s="175"/>
      <c r="S50" s="175"/>
      <c r="T50" s="175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</row>
    <row r="51" spans="18:46" s="54" customFormat="1" x14ac:dyDescent="0.25">
      <c r="R51" s="175"/>
      <c r="S51" s="175"/>
      <c r="T51" s="175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</row>
    <row r="52" spans="18:46" s="54" customFormat="1" x14ac:dyDescent="0.25">
      <c r="R52" s="175"/>
      <c r="S52" s="175"/>
      <c r="T52" s="175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</row>
    <row r="53" spans="18:46" s="54" customFormat="1" x14ac:dyDescent="0.25">
      <c r="R53" s="175"/>
      <c r="S53" s="175"/>
      <c r="T53" s="175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</row>
    <row r="54" spans="18:46" s="54" customFormat="1" x14ac:dyDescent="0.25">
      <c r="R54" s="175"/>
      <c r="S54" s="175"/>
      <c r="T54" s="175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</row>
    <row r="55" spans="18:46" s="54" customFormat="1" x14ac:dyDescent="0.25">
      <c r="R55" s="175"/>
      <c r="S55" s="175"/>
      <c r="T55" s="175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</row>
    <row r="56" spans="18:46" s="54" customFormat="1" x14ac:dyDescent="0.25">
      <c r="R56" s="175"/>
      <c r="S56" s="175"/>
      <c r="T56" s="175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</row>
    <row r="57" spans="18:46" s="54" customFormat="1" x14ac:dyDescent="0.25">
      <c r="R57" s="175"/>
      <c r="S57" s="175"/>
      <c r="T57" s="175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</row>
    <row r="58" spans="18:46" s="54" customFormat="1" x14ac:dyDescent="0.25">
      <c r="R58" s="175"/>
      <c r="S58" s="175"/>
      <c r="T58" s="175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</row>
    <row r="59" spans="18:46" s="54" customFormat="1" x14ac:dyDescent="0.25">
      <c r="R59" s="175"/>
      <c r="S59" s="175"/>
      <c r="T59" s="175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</row>
    <row r="60" spans="18:46" s="54" customFormat="1" x14ac:dyDescent="0.25">
      <c r="R60" s="175"/>
      <c r="S60" s="175"/>
      <c r="T60" s="175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</row>
    <row r="61" spans="18:46" s="54" customFormat="1" x14ac:dyDescent="0.25">
      <c r="R61" s="175"/>
      <c r="S61" s="175"/>
      <c r="T61" s="175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</row>
    <row r="62" spans="18:46" s="54" customFormat="1" x14ac:dyDescent="0.25">
      <c r="R62" s="175"/>
      <c r="S62" s="175"/>
      <c r="T62" s="175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</row>
    <row r="63" spans="18:46" s="54" customFormat="1" x14ac:dyDescent="0.25">
      <c r="R63" s="175"/>
      <c r="S63" s="175"/>
      <c r="T63" s="175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</row>
    <row r="64" spans="18:46" s="54" customFormat="1" x14ac:dyDescent="0.25">
      <c r="R64" s="175"/>
      <c r="S64" s="175"/>
      <c r="T64" s="175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</row>
    <row r="65" spans="18:46" s="54" customFormat="1" x14ac:dyDescent="0.25">
      <c r="R65" s="175"/>
      <c r="S65" s="175"/>
      <c r="T65" s="175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</row>
    <row r="66" spans="18:46" s="54" customFormat="1" x14ac:dyDescent="0.25">
      <c r="R66" s="175"/>
      <c r="S66" s="175"/>
      <c r="T66" s="175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</row>
    <row r="67" spans="18:46" s="54" customFormat="1" x14ac:dyDescent="0.25">
      <c r="R67" s="175"/>
      <c r="S67" s="175"/>
      <c r="T67" s="175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</row>
    <row r="68" spans="18:46" s="54" customFormat="1" x14ac:dyDescent="0.25">
      <c r="R68" s="175"/>
      <c r="S68" s="175"/>
      <c r="T68" s="175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</row>
    <row r="69" spans="18:46" s="54" customFormat="1" x14ac:dyDescent="0.25">
      <c r="R69" s="175"/>
      <c r="S69" s="175"/>
      <c r="T69" s="175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</row>
    <row r="70" spans="18:46" s="54" customFormat="1" x14ac:dyDescent="0.25">
      <c r="R70" s="175"/>
      <c r="S70" s="175"/>
      <c r="T70" s="175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</row>
    <row r="71" spans="18:46" s="54" customFormat="1" x14ac:dyDescent="0.25">
      <c r="R71" s="175"/>
      <c r="S71" s="175"/>
      <c r="T71" s="175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</row>
    <row r="72" spans="18:46" s="54" customFormat="1" x14ac:dyDescent="0.25">
      <c r="R72" s="175"/>
      <c r="S72" s="175"/>
      <c r="T72" s="175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</row>
    <row r="73" spans="18:46" s="54" customFormat="1" x14ac:dyDescent="0.25">
      <c r="R73" s="175"/>
      <c r="S73" s="175"/>
      <c r="T73" s="175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</row>
    <row r="74" spans="18:46" s="54" customFormat="1" x14ac:dyDescent="0.25">
      <c r="R74" s="175"/>
      <c r="S74" s="175"/>
      <c r="T74" s="175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</row>
    <row r="75" spans="18:46" s="54" customFormat="1" x14ac:dyDescent="0.25">
      <c r="R75" s="175"/>
      <c r="S75" s="175"/>
      <c r="T75" s="175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</row>
    <row r="76" spans="18:46" s="54" customFormat="1" x14ac:dyDescent="0.25">
      <c r="R76" s="175"/>
      <c r="S76" s="175"/>
      <c r="T76" s="175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</row>
    <row r="77" spans="18:46" s="54" customFormat="1" x14ac:dyDescent="0.25">
      <c r="R77" s="175"/>
      <c r="S77" s="175"/>
      <c r="T77" s="175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</row>
    <row r="78" spans="18:46" s="54" customFormat="1" x14ac:dyDescent="0.25">
      <c r="R78" s="175"/>
      <c r="S78" s="175"/>
      <c r="T78" s="175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  <c r="AT78" s="90"/>
    </row>
    <row r="79" spans="18:46" s="54" customFormat="1" x14ac:dyDescent="0.25">
      <c r="R79" s="175"/>
      <c r="S79" s="175"/>
      <c r="T79" s="175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</row>
    <row r="80" spans="18:46" s="54" customFormat="1" x14ac:dyDescent="0.25">
      <c r="R80" s="175"/>
      <c r="S80" s="175"/>
      <c r="T80" s="175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</row>
    <row r="81" spans="18:46" s="54" customFormat="1" x14ac:dyDescent="0.25">
      <c r="R81" s="175"/>
      <c r="S81" s="175"/>
      <c r="T81" s="175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</row>
    <row r="82" spans="18:46" s="54" customFormat="1" x14ac:dyDescent="0.25">
      <c r="R82" s="175"/>
      <c r="S82" s="175"/>
      <c r="T82" s="175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</row>
    <row r="83" spans="18:46" s="54" customFormat="1" x14ac:dyDescent="0.25">
      <c r="R83" s="175"/>
      <c r="S83" s="175"/>
      <c r="T83" s="175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</row>
    <row r="84" spans="18:46" s="54" customFormat="1" x14ac:dyDescent="0.25">
      <c r="R84" s="175"/>
      <c r="S84" s="175"/>
      <c r="T84" s="175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</row>
    <row r="85" spans="18:46" s="54" customFormat="1" x14ac:dyDescent="0.25">
      <c r="R85" s="175"/>
      <c r="S85" s="175"/>
      <c r="T85" s="175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90"/>
    </row>
    <row r="86" spans="18:46" s="54" customFormat="1" x14ac:dyDescent="0.25">
      <c r="R86" s="175"/>
      <c r="S86" s="175"/>
      <c r="T86" s="175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  <c r="AT86" s="90"/>
    </row>
    <row r="87" spans="18:46" s="54" customFormat="1" x14ac:dyDescent="0.25">
      <c r="R87" s="175"/>
      <c r="S87" s="175"/>
      <c r="T87" s="175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</row>
    <row r="88" spans="18:46" s="54" customFormat="1" x14ac:dyDescent="0.25">
      <c r="R88" s="175"/>
      <c r="S88" s="175"/>
      <c r="T88" s="175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</row>
    <row r="89" spans="18:46" s="54" customFormat="1" x14ac:dyDescent="0.25">
      <c r="R89" s="175"/>
      <c r="S89" s="175"/>
      <c r="T89" s="175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</row>
    <row r="90" spans="18:46" s="54" customFormat="1" x14ac:dyDescent="0.25">
      <c r="R90" s="175"/>
      <c r="S90" s="175"/>
      <c r="T90" s="175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</row>
    <row r="91" spans="18:46" s="54" customFormat="1" x14ac:dyDescent="0.25">
      <c r="R91" s="175"/>
      <c r="S91" s="175"/>
      <c r="T91" s="175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</row>
    <row r="92" spans="18:46" s="54" customFormat="1" x14ac:dyDescent="0.25">
      <c r="R92" s="175"/>
      <c r="S92" s="175"/>
      <c r="T92" s="175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</row>
    <row r="93" spans="18:46" s="54" customFormat="1" x14ac:dyDescent="0.25">
      <c r="R93" s="175"/>
      <c r="S93" s="175"/>
      <c r="T93" s="175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</row>
    <row r="94" spans="18:46" s="54" customFormat="1" x14ac:dyDescent="0.25">
      <c r="R94" s="175"/>
      <c r="S94" s="175"/>
      <c r="T94" s="175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</row>
    <row r="95" spans="18:46" s="54" customFormat="1" x14ac:dyDescent="0.25">
      <c r="R95" s="175"/>
      <c r="S95" s="175"/>
      <c r="T95" s="175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</row>
    <row r="96" spans="18:46" s="54" customFormat="1" x14ac:dyDescent="0.25">
      <c r="R96" s="175"/>
      <c r="S96" s="175"/>
      <c r="T96" s="175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</row>
    <row r="97" spans="18:46" s="54" customFormat="1" x14ac:dyDescent="0.25">
      <c r="R97" s="175"/>
      <c r="S97" s="175"/>
      <c r="T97" s="175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</row>
    <row r="98" spans="18:46" s="54" customFormat="1" x14ac:dyDescent="0.25">
      <c r="R98" s="175"/>
      <c r="S98" s="175"/>
      <c r="T98" s="175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</row>
    <row r="99" spans="18:46" s="54" customFormat="1" x14ac:dyDescent="0.25">
      <c r="R99" s="175"/>
      <c r="S99" s="175"/>
      <c r="T99" s="175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</row>
    <row r="100" spans="18:46" s="54" customFormat="1" x14ac:dyDescent="0.25">
      <c r="R100" s="175"/>
      <c r="S100" s="175"/>
      <c r="T100" s="175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</row>
    <row r="101" spans="18:46" s="54" customFormat="1" x14ac:dyDescent="0.25">
      <c r="R101" s="175"/>
      <c r="S101" s="175"/>
      <c r="T101" s="175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</row>
    <row r="102" spans="18:46" s="54" customFormat="1" x14ac:dyDescent="0.25">
      <c r="R102" s="175"/>
      <c r="S102" s="175"/>
      <c r="T102" s="175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</row>
    <row r="103" spans="18:46" s="54" customFormat="1" x14ac:dyDescent="0.25">
      <c r="R103" s="175"/>
      <c r="S103" s="175"/>
      <c r="T103" s="175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</row>
    <row r="104" spans="18:46" s="54" customFormat="1" x14ac:dyDescent="0.25">
      <c r="R104" s="175"/>
      <c r="S104" s="175"/>
      <c r="T104" s="175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</row>
    <row r="105" spans="18:46" s="54" customFormat="1" x14ac:dyDescent="0.25">
      <c r="R105" s="175"/>
      <c r="S105" s="175"/>
      <c r="T105" s="175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</row>
    <row r="106" spans="18:46" s="54" customFormat="1" x14ac:dyDescent="0.25">
      <c r="R106" s="175"/>
      <c r="S106" s="175"/>
      <c r="T106" s="175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</row>
    <row r="107" spans="18:46" s="54" customFormat="1" x14ac:dyDescent="0.25">
      <c r="R107" s="175"/>
      <c r="S107" s="175"/>
      <c r="T107" s="175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</row>
    <row r="108" spans="18:46" s="54" customFormat="1" x14ac:dyDescent="0.25">
      <c r="R108" s="175"/>
      <c r="S108" s="175"/>
      <c r="T108" s="175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</row>
    <row r="109" spans="18:46" s="54" customFormat="1" x14ac:dyDescent="0.25">
      <c r="R109" s="175"/>
      <c r="S109" s="175"/>
      <c r="T109" s="175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</row>
    <row r="110" spans="18:46" s="54" customFormat="1" x14ac:dyDescent="0.25">
      <c r="R110" s="175"/>
      <c r="S110" s="175"/>
      <c r="T110" s="175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</row>
    <row r="111" spans="18:46" s="54" customFormat="1" x14ac:dyDescent="0.25">
      <c r="R111" s="175"/>
      <c r="S111" s="175"/>
      <c r="T111" s="175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</row>
    <row r="112" spans="18:46" s="54" customFormat="1" x14ac:dyDescent="0.25">
      <c r="R112" s="175"/>
      <c r="S112" s="175"/>
      <c r="T112" s="175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</row>
    <row r="113" spans="18:46" s="54" customFormat="1" x14ac:dyDescent="0.25">
      <c r="R113" s="175"/>
      <c r="S113" s="175"/>
      <c r="T113" s="175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</row>
    <row r="114" spans="18:46" s="54" customFormat="1" x14ac:dyDescent="0.25">
      <c r="R114" s="175"/>
      <c r="S114" s="175"/>
      <c r="T114" s="175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</row>
    <row r="115" spans="18:46" s="54" customFormat="1" x14ac:dyDescent="0.25">
      <c r="R115" s="175"/>
      <c r="S115" s="175"/>
      <c r="T115" s="175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</row>
    <row r="116" spans="18:46" s="54" customFormat="1" x14ac:dyDescent="0.25">
      <c r="R116" s="175"/>
      <c r="S116" s="175"/>
      <c r="T116" s="175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</row>
    <row r="117" spans="18:46" s="54" customFormat="1" x14ac:dyDescent="0.25">
      <c r="R117" s="175"/>
      <c r="S117" s="175"/>
      <c r="T117" s="175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</row>
    <row r="118" spans="18:46" s="54" customFormat="1" x14ac:dyDescent="0.25">
      <c r="R118" s="175"/>
      <c r="S118" s="175"/>
      <c r="T118" s="175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</row>
    <row r="119" spans="18:46" s="54" customFormat="1" x14ac:dyDescent="0.25">
      <c r="R119" s="175"/>
      <c r="S119" s="175"/>
      <c r="T119" s="175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</row>
    <row r="120" spans="18:46" s="54" customFormat="1" x14ac:dyDescent="0.25">
      <c r="R120" s="175"/>
      <c r="S120" s="175"/>
      <c r="T120" s="175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</row>
    <row r="121" spans="18:46" s="54" customFormat="1" x14ac:dyDescent="0.25">
      <c r="R121" s="175"/>
      <c r="S121" s="175"/>
      <c r="T121" s="175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</row>
    <row r="122" spans="18:46" s="54" customFormat="1" x14ac:dyDescent="0.25">
      <c r="R122" s="175"/>
      <c r="S122" s="175"/>
      <c r="T122" s="175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</row>
    <row r="123" spans="18:46" s="54" customFormat="1" x14ac:dyDescent="0.25">
      <c r="R123" s="175"/>
      <c r="S123" s="175"/>
      <c r="T123" s="175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</row>
    <row r="124" spans="18:46" s="54" customFormat="1" x14ac:dyDescent="0.25">
      <c r="R124" s="175"/>
      <c r="S124" s="175"/>
      <c r="T124" s="175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</row>
    <row r="125" spans="18:46" s="54" customFormat="1" x14ac:dyDescent="0.25">
      <c r="R125" s="175"/>
      <c r="S125" s="175"/>
      <c r="T125" s="175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</row>
    <row r="126" spans="18:46" s="54" customFormat="1" x14ac:dyDescent="0.25">
      <c r="R126" s="175"/>
      <c r="S126" s="175"/>
      <c r="T126" s="175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</row>
    <row r="127" spans="18:46" s="54" customFormat="1" x14ac:dyDescent="0.25">
      <c r="R127" s="175"/>
      <c r="S127" s="175"/>
      <c r="T127" s="175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</row>
    <row r="128" spans="18:46" s="54" customFormat="1" x14ac:dyDescent="0.25">
      <c r="R128" s="175"/>
      <c r="S128" s="175"/>
      <c r="T128" s="175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</row>
    <row r="129" spans="18:46" s="54" customFormat="1" x14ac:dyDescent="0.25">
      <c r="R129" s="175"/>
      <c r="S129" s="175"/>
      <c r="T129" s="175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</row>
    <row r="130" spans="18:46" s="54" customFormat="1" x14ac:dyDescent="0.25">
      <c r="R130" s="175"/>
      <c r="S130" s="175"/>
      <c r="T130" s="175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</row>
    <row r="131" spans="18:46" s="54" customFormat="1" x14ac:dyDescent="0.25">
      <c r="R131" s="175"/>
      <c r="S131" s="175"/>
      <c r="T131" s="175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</row>
    <row r="132" spans="18:46" s="54" customFormat="1" x14ac:dyDescent="0.25">
      <c r="R132" s="175"/>
      <c r="S132" s="175"/>
      <c r="T132" s="175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</row>
    <row r="133" spans="18:46" s="54" customFormat="1" x14ac:dyDescent="0.25">
      <c r="R133" s="175"/>
      <c r="S133" s="175"/>
      <c r="T133" s="175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</row>
    <row r="134" spans="18:46" s="54" customFormat="1" x14ac:dyDescent="0.25">
      <c r="R134" s="175"/>
      <c r="S134" s="175"/>
      <c r="T134" s="175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</row>
    <row r="135" spans="18:46" s="54" customFormat="1" x14ac:dyDescent="0.25">
      <c r="R135" s="175"/>
      <c r="S135" s="175"/>
      <c r="T135" s="175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</row>
    <row r="136" spans="18:46" s="54" customFormat="1" x14ac:dyDescent="0.25">
      <c r="R136" s="175"/>
      <c r="S136" s="175"/>
      <c r="T136" s="175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</row>
    <row r="137" spans="18:46" s="54" customFormat="1" x14ac:dyDescent="0.25">
      <c r="R137" s="175"/>
      <c r="S137" s="175"/>
      <c r="T137" s="175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</row>
    <row r="138" spans="18:46" s="54" customFormat="1" x14ac:dyDescent="0.25">
      <c r="R138" s="175"/>
      <c r="S138" s="175"/>
      <c r="T138" s="175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</row>
    <row r="139" spans="18:46" s="54" customFormat="1" x14ac:dyDescent="0.25">
      <c r="R139" s="175"/>
      <c r="S139" s="175"/>
      <c r="T139" s="175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</row>
    <row r="140" spans="18:46" s="54" customFormat="1" x14ac:dyDescent="0.25">
      <c r="R140" s="175"/>
      <c r="S140" s="175"/>
      <c r="T140" s="175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</row>
    <row r="141" spans="18:46" s="54" customFormat="1" x14ac:dyDescent="0.25">
      <c r="R141" s="175"/>
      <c r="S141" s="175"/>
      <c r="T141" s="175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</row>
    <row r="142" spans="18:46" s="54" customFormat="1" x14ac:dyDescent="0.25">
      <c r="R142" s="175"/>
      <c r="S142" s="175"/>
      <c r="T142" s="175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</row>
    <row r="143" spans="18:46" s="54" customFormat="1" x14ac:dyDescent="0.25">
      <c r="R143" s="175"/>
      <c r="S143" s="175"/>
      <c r="T143" s="175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</row>
    <row r="144" spans="18:46" s="54" customFormat="1" x14ac:dyDescent="0.25">
      <c r="R144" s="175"/>
      <c r="S144" s="175"/>
      <c r="T144" s="175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</row>
    <row r="145" spans="18:46" s="54" customFormat="1" x14ac:dyDescent="0.25">
      <c r="R145" s="175"/>
      <c r="S145" s="175"/>
      <c r="T145" s="175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</row>
    <row r="146" spans="18:46" s="54" customFormat="1" x14ac:dyDescent="0.25">
      <c r="R146" s="175"/>
      <c r="S146" s="175"/>
      <c r="T146" s="175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</row>
    <row r="147" spans="18:46" s="54" customFormat="1" x14ac:dyDescent="0.25">
      <c r="R147" s="175"/>
      <c r="S147" s="175"/>
      <c r="T147" s="175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</row>
    <row r="148" spans="18:46" s="54" customFormat="1" x14ac:dyDescent="0.25">
      <c r="R148" s="175"/>
      <c r="S148" s="175"/>
      <c r="T148" s="175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</row>
    <row r="149" spans="18:46" s="54" customFormat="1" x14ac:dyDescent="0.25">
      <c r="R149" s="175"/>
      <c r="S149" s="175"/>
      <c r="T149" s="175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</row>
    <row r="150" spans="18:46" s="54" customFormat="1" x14ac:dyDescent="0.25">
      <c r="R150" s="175"/>
      <c r="S150" s="175"/>
      <c r="T150" s="175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</row>
    <row r="151" spans="18:46" s="54" customFormat="1" x14ac:dyDescent="0.25">
      <c r="R151" s="175"/>
      <c r="S151" s="175"/>
      <c r="T151" s="175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</row>
    <row r="152" spans="18:46" s="54" customFormat="1" x14ac:dyDescent="0.25">
      <c r="R152" s="175"/>
      <c r="S152" s="175"/>
      <c r="T152" s="175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</row>
    <row r="153" spans="18:46" s="54" customFormat="1" x14ac:dyDescent="0.25">
      <c r="R153" s="175"/>
      <c r="S153" s="175"/>
      <c r="T153" s="175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</row>
    <row r="154" spans="18:46" s="54" customFormat="1" x14ac:dyDescent="0.25">
      <c r="R154" s="175"/>
      <c r="S154" s="175"/>
      <c r="T154" s="175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</row>
    <row r="155" spans="18:46" s="54" customFormat="1" x14ac:dyDescent="0.25">
      <c r="R155" s="175"/>
      <c r="S155" s="175"/>
      <c r="T155" s="175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</row>
    <row r="156" spans="18:46" s="54" customFormat="1" x14ac:dyDescent="0.25">
      <c r="R156" s="175"/>
      <c r="S156" s="175"/>
      <c r="T156" s="175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</row>
    <row r="157" spans="18:46" s="54" customFormat="1" x14ac:dyDescent="0.25">
      <c r="R157" s="175"/>
      <c r="S157" s="175"/>
      <c r="T157" s="175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</row>
    <row r="158" spans="18:46" s="54" customFormat="1" x14ac:dyDescent="0.25">
      <c r="R158" s="175"/>
      <c r="S158" s="175"/>
      <c r="T158" s="175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</row>
    <row r="159" spans="18:46" s="54" customFormat="1" x14ac:dyDescent="0.25">
      <c r="R159" s="175"/>
      <c r="S159" s="175"/>
      <c r="T159" s="175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</row>
    <row r="160" spans="18:46" s="54" customFormat="1" x14ac:dyDescent="0.25">
      <c r="R160" s="175"/>
      <c r="S160" s="175"/>
      <c r="T160" s="175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</row>
    <row r="161" spans="18:46" s="54" customFormat="1" x14ac:dyDescent="0.25">
      <c r="R161" s="175"/>
      <c r="S161" s="175"/>
      <c r="T161" s="175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</row>
    <row r="162" spans="18:46" s="54" customFormat="1" x14ac:dyDescent="0.25">
      <c r="R162" s="175"/>
      <c r="S162" s="175"/>
      <c r="T162" s="175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</row>
    <row r="163" spans="18:46" s="54" customFormat="1" x14ac:dyDescent="0.25">
      <c r="R163" s="175"/>
      <c r="S163" s="175"/>
      <c r="T163" s="175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</row>
    <row r="164" spans="18:46" s="54" customFormat="1" x14ac:dyDescent="0.25">
      <c r="R164" s="175"/>
      <c r="S164" s="175"/>
      <c r="T164" s="175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</row>
    <row r="165" spans="18:46" s="54" customFormat="1" x14ac:dyDescent="0.25">
      <c r="R165" s="175"/>
      <c r="S165" s="175"/>
      <c r="T165" s="175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</row>
    <row r="166" spans="18:46" s="54" customFormat="1" x14ac:dyDescent="0.25">
      <c r="R166" s="175"/>
      <c r="S166" s="175"/>
      <c r="T166" s="175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</row>
    <row r="167" spans="18:46" s="54" customFormat="1" x14ac:dyDescent="0.25">
      <c r="R167" s="175"/>
      <c r="S167" s="175"/>
      <c r="T167" s="175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</row>
    <row r="168" spans="18:46" s="54" customFormat="1" x14ac:dyDescent="0.25">
      <c r="R168" s="175"/>
      <c r="S168" s="175"/>
      <c r="T168" s="175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</row>
    <row r="169" spans="18:46" s="54" customFormat="1" x14ac:dyDescent="0.25">
      <c r="R169" s="175"/>
      <c r="S169" s="175"/>
      <c r="T169" s="175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</row>
    <row r="170" spans="18:46" s="54" customFormat="1" x14ac:dyDescent="0.25">
      <c r="R170" s="175"/>
      <c r="S170" s="175"/>
      <c r="T170" s="175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</row>
    <row r="171" spans="18:46" s="54" customFormat="1" x14ac:dyDescent="0.25">
      <c r="R171" s="175"/>
      <c r="S171" s="175"/>
      <c r="T171" s="175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</row>
    <row r="172" spans="18:46" s="54" customFormat="1" x14ac:dyDescent="0.25">
      <c r="R172" s="175"/>
      <c r="S172" s="175"/>
      <c r="T172" s="175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</row>
    <row r="173" spans="18:46" s="54" customFormat="1" x14ac:dyDescent="0.25">
      <c r="R173" s="175"/>
      <c r="S173" s="175"/>
      <c r="T173" s="175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</row>
    <row r="174" spans="18:46" s="54" customFormat="1" x14ac:dyDescent="0.25">
      <c r="R174" s="175"/>
      <c r="S174" s="175"/>
      <c r="T174" s="175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</row>
    <row r="175" spans="18:46" s="54" customFormat="1" x14ac:dyDescent="0.25">
      <c r="R175" s="175"/>
      <c r="S175" s="175"/>
      <c r="T175" s="175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</row>
    <row r="176" spans="18:46" s="54" customFormat="1" x14ac:dyDescent="0.25">
      <c r="R176" s="175"/>
      <c r="S176" s="175"/>
      <c r="T176" s="175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</row>
    <row r="177" spans="18:46" s="54" customFormat="1" x14ac:dyDescent="0.25">
      <c r="R177" s="175"/>
      <c r="S177" s="175"/>
      <c r="T177" s="175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</row>
    <row r="178" spans="18:46" s="54" customFormat="1" x14ac:dyDescent="0.25">
      <c r="R178" s="175"/>
      <c r="S178" s="175"/>
      <c r="T178" s="175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</row>
    <row r="179" spans="18:46" s="54" customFormat="1" x14ac:dyDescent="0.25">
      <c r="R179" s="175"/>
      <c r="S179" s="175"/>
      <c r="T179" s="175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</row>
    <row r="180" spans="18:46" s="54" customFormat="1" x14ac:dyDescent="0.25">
      <c r="R180" s="175"/>
      <c r="S180" s="175"/>
      <c r="T180" s="175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</row>
    <row r="181" spans="18:46" s="54" customFormat="1" x14ac:dyDescent="0.25">
      <c r="R181" s="175"/>
      <c r="S181" s="175"/>
      <c r="T181" s="175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</row>
    <row r="182" spans="18:46" s="54" customFormat="1" x14ac:dyDescent="0.25">
      <c r="R182" s="175"/>
      <c r="S182" s="175"/>
      <c r="T182" s="175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</row>
    <row r="183" spans="18:46" s="54" customFormat="1" x14ac:dyDescent="0.25">
      <c r="R183" s="175"/>
      <c r="S183" s="175"/>
      <c r="T183" s="175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</row>
    <row r="184" spans="18:46" s="54" customFormat="1" x14ac:dyDescent="0.25">
      <c r="R184" s="175"/>
      <c r="S184" s="175"/>
      <c r="T184" s="175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</row>
    <row r="185" spans="18:46" s="54" customFormat="1" x14ac:dyDescent="0.25">
      <c r="R185" s="175"/>
      <c r="S185" s="175"/>
      <c r="T185" s="175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</row>
    <row r="186" spans="18:46" s="54" customFormat="1" x14ac:dyDescent="0.25">
      <c r="R186" s="175"/>
      <c r="S186" s="175"/>
      <c r="T186" s="175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</row>
    <row r="187" spans="18:46" s="54" customFormat="1" x14ac:dyDescent="0.25">
      <c r="R187" s="175"/>
      <c r="S187" s="175"/>
      <c r="T187" s="175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</row>
    <row r="188" spans="18:46" s="54" customFormat="1" x14ac:dyDescent="0.25">
      <c r="R188" s="175"/>
      <c r="S188" s="175"/>
      <c r="T188" s="175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</row>
    <row r="189" spans="18:46" s="54" customFormat="1" x14ac:dyDescent="0.25">
      <c r="R189" s="175"/>
      <c r="S189" s="175"/>
      <c r="T189" s="175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</row>
    <row r="190" spans="18:46" s="54" customFormat="1" x14ac:dyDescent="0.25">
      <c r="R190" s="175"/>
      <c r="S190" s="175"/>
      <c r="T190" s="175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</row>
    <row r="191" spans="18:46" s="54" customFormat="1" x14ac:dyDescent="0.25">
      <c r="R191" s="175"/>
      <c r="S191" s="175"/>
      <c r="T191" s="175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</row>
    <row r="192" spans="18:46" s="54" customFormat="1" x14ac:dyDescent="0.25">
      <c r="R192" s="175"/>
      <c r="S192" s="175"/>
      <c r="T192" s="175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</row>
    <row r="193" spans="18:46" s="54" customFormat="1" x14ac:dyDescent="0.25">
      <c r="R193" s="175"/>
      <c r="S193" s="175"/>
      <c r="T193" s="175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</row>
    <row r="194" spans="18:46" s="54" customFormat="1" x14ac:dyDescent="0.25">
      <c r="R194" s="175"/>
      <c r="S194" s="175"/>
      <c r="T194" s="175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</row>
    <row r="195" spans="18:46" s="54" customFormat="1" x14ac:dyDescent="0.25">
      <c r="R195" s="175"/>
      <c r="S195" s="175"/>
      <c r="T195" s="175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</row>
    <row r="196" spans="18:46" s="54" customFormat="1" x14ac:dyDescent="0.25">
      <c r="R196" s="175"/>
      <c r="S196" s="175"/>
      <c r="T196" s="175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</row>
    <row r="197" spans="18:46" s="54" customFormat="1" x14ac:dyDescent="0.25">
      <c r="R197" s="175"/>
      <c r="S197" s="175"/>
      <c r="T197" s="175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</row>
    <row r="198" spans="18:46" s="54" customFormat="1" x14ac:dyDescent="0.25">
      <c r="R198" s="175"/>
      <c r="S198" s="175"/>
      <c r="T198" s="175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</row>
    <row r="199" spans="18:46" s="54" customFormat="1" x14ac:dyDescent="0.25">
      <c r="R199" s="175"/>
      <c r="S199" s="175"/>
      <c r="T199" s="175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</row>
    <row r="200" spans="18:46" s="54" customFormat="1" x14ac:dyDescent="0.25">
      <c r="R200" s="175"/>
      <c r="S200" s="175"/>
      <c r="T200" s="175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</row>
    <row r="201" spans="18:46" s="54" customFormat="1" x14ac:dyDescent="0.25">
      <c r="R201" s="175"/>
      <c r="S201" s="175"/>
      <c r="T201" s="175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</row>
    <row r="202" spans="18:46" s="54" customFormat="1" x14ac:dyDescent="0.25">
      <c r="R202" s="175"/>
      <c r="S202" s="175"/>
      <c r="T202" s="175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</row>
    <row r="203" spans="18:46" s="54" customFormat="1" x14ac:dyDescent="0.25">
      <c r="R203" s="175"/>
      <c r="S203" s="175"/>
      <c r="T203" s="175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</row>
    <row r="204" spans="18:46" s="54" customFormat="1" x14ac:dyDescent="0.25">
      <c r="R204" s="175"/>
      <c r="S204" s="175"/>
      <c r="T204" s="175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  <c r="AT204" s="90"/>
    </row>
    <row r="205" spans="18:46" s="54" customFormat="1" x14ac:dyDescent="0.25">
      <c r="R205" s="175"/>
      <c r="S205" s="175"/>
      <c r="T205" s="175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</row>
    <row r="206" spans="18:46" s="54" customFormat="1" x14ac:dyDescent="0.25">
      <c r="R206" s="175"/>
      <c r="S206" s="175"/>
      <c r="T206" s="175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  <c r="AT206" s="90"/>
    </row>
    <row r="207" spans="18:46" s="54" customFormat="1" x14ac:dyDescent="0.25">
      <c r="R207" s="175"/>
      <c r="S207" s="175"/>
      <c r="T207" s="175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</row>
    <row r="208" spans="18:46" s="54" customFormat="1" x14ac:dyDescent="0.25">
      <c r="R208" s="175"/>
      <c r="S208" s="175"/>
      <c r="T208" s="175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  <c r="AT208" s="90"/>
    </row>
    <row r="209" spans="18:46" s="54" customFormat="1" x14ac:dyDescent="0.25">
      <c r="R209" s="175"/>
      <c r="S209" s="175"/>
      <c r="T209" s="175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</row>
    <row r="210" spans="18:46" s="54" customFormat="1" x14ac:dyDescent="0.25">
      <c r="R210" s="175"/>
      <c r="S210" s="175"/>
      <c r="T210" s="175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</row>
    <row r="211" spans="18:46" s="54" customFormat="1" x14ac:dyDescent="0.25">
      <c r="R211" s="175"/>
      <c r="S211" s="175"/>
      <c r="T211" s="175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</row>
    <row r="212" spans="18:46" s="54" customFormat="1" x14ac:dyDescent="0.25">
      <c r="R212" s="175"/>
      <c r="S212" s="175"/>
      <c r="T212" s="175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</row>
    <row r="213" spans="18:46" s="54" customFormat="1" x14ac:dyDescent="0.25">
      <c r="R213" s="175"/>
      <c r="S213" s="175"/>
      <c r="T213" s="175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</row>
    <row r="214" spans="18:46" s="54" customFormat="1" x14ac:dyDescent="0.25">
      <c r="R214" s="175"/>
      <c r="S214" s="175"/>
      <c r="T214" s="175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90"/>
    </row>
    <row r="215" spans="18:46" s="54" customFormat="1" x14ac:dyDescent="0.25">
      <c r="R215" s="175"/>
      <c r="S215" s="175"/>
      <c r="T215" s="175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</row>
    <row r="216" spans="18:46" s="54" customFormat="1" x14ac:dyDescent="0.25">
      <c r="R216" s="175"/>
      <c r="S216" s="175"/>
      <c r="T216" s="175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  <c r="AT216" s="90"/>
    </row>
    <row r="217" spans="18:46" s="54" customFormat="1" x14ac:dyDescent="0.25">
      <c r="R217" s="175"/>
      <c r="S217" s="175"/>
      <c r="T217" s="175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</row>
    <row r="218" spans="18:46" s="54" customFormat="1" x14ac:dyDescent="0.25">
      <c r="R218" s="175"/>
      <c r="S218" s="175"/>
      <c r="T218" s="175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</row>
    <row r="219" spans="18:46" s="54" customFormat="1" x14ac:dyDescent="0.25">
      <c r="R219" s="175"/>
      <c r="S219" s="175"/>
      <c r="T219" s="175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</row>
    <row r="220" spans="18:46" s="54" customFormat="1" x14ac:dyDescent="0.25">
      <c r="R220" s="175"/>
      <c r="S220" s="175"/>
      <c r="T220" s="175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</row>
    <row r="221" spans="18:46" s="54" customFormat="1" x14ac:dyDescent="0.25">
      <c r="R221" s="175"/>
      <c r="S221" s="175"/>
      <c r="T221" s="175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</row>
    <row r="222" spans="18:46" s="54" customFormat="1" x14ac:dyDescent="0.25">
      <c r="R222" s="175"/>
      <c r="S222" s="175"/>
      <c r="T222" s="175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</row>
    <row r="223" spans="18:46" s="54" customFormat="1" x14ac:dyDescent="0.25">
      <c r="R223" s="175"/>
      <c r="S223" s="175"/>
      <c r="T223" s="175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</row>
    <row r="224" spans="18:46" s="54" customFormat="1" x14ac:dyDescent="0.25">
      <c r="R224" s="175"/>
      <c r="S224" s="175"/>
      <c r="T224" s="175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  <c r="AT224" s="90"/>
    </row>
    <row r="225" spans="18:46" s="54" customFormat="1" x14ac:dyDescent="0.25">
      <c r="R225" s="175"/>
      <c r="S225" s="175"/>
      <c r="T225" s="175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</row>
    <row r="226" spans="18:46" s="54" customFormat="1" x14ac:dyDescent="0.25">
      <c r="R226" s="175"/>
      <c r="S226" s="175"/>
      <c r="T226" s="175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</row>
    <row r="227" spans="18:46" s="54" customFormat="1" x14ac:dyDescent="0.25">
      <c r="R227" s="175"/>
      <c r="S227" s="175"/>
      <c r="T227" s="175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</row>
    <row r="228" spans="18:46" s="54" customFormat="1" x14ac:dyDescent="0.25">
      <c r="R228" s="175"/>
      <c r="S228" s="175"/>
      <c r="T228" s="175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  <c r="AT228" s="90"/>
    </row>
    <row r="229" spans="18:46" s="54" customFormat="1" x14ac:dyDescent="0.25">
      <c r="R229" s="175"/>
      <c r="S229" s="175"/>
      <c r="T229" s="175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  <c r="AT229" s="90"/>
    </row>
    <row r="230" spans="18:46" s="54" customFormat="1" x14ac:dyDescent="0.25">
      <c r="R230" s="175"/>
      <c r="S230" s="175"/>
      <c r="T230" s="175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  <c r="AT230" s="90"/>
    </row>
    <row r="231" spans="18:46" s="54" customFormat="1" x14ac:dyDescent="0.25">
      <c r="R231" s="175"/>
      <c r="S231" s="175"/>
      <c r="T231" s="175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</row>
    <row r="232" spans="18:46" s="54" customFormat="1" x14ac:dyDescent="0.25">
      <c r="R232" s="175"/>
      <c r="S232" s="175"/>
      <c r="T232" s="175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</row>
    <row r="233" spans="18:46" s="54" customFormat="1" x14ac:dyDescent="0.25">
      <c r="R233" s="175"/>
      <c r="S233" s="175"/>
      <c r="T233" s="175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</row>
    <row r="234" spans="18:46" s="54" customFormat="1" x14ac:dyDescent="0.25">
      <c r="R234" s="175"/>
      <c r="S234" s="175"/>
      <c r="T234" s="175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  <c r="AT234" s="90"/>
    </row>
    <row r="235" spans="18:46" s="54" customFormat="1" x14ac:dyDescent="0.25">
      <c r="R235" s="175"/>
      <c r="S235" s="175"/>
      <c r="T235" s="175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  <c r="AT235" s="90"/>
    </row>
    <row r="236" spans="18:46" s="54" customFormat="1" x14ac:dyDescent="0.25">
      <c r="R236" s="175"/>
      <c r="S236" s="175"/>
      <c r="T236" s="175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  <c r="AT236" s="90"/>
    </row>
    <row r="237" spans="18:46" s="54" customFormat="1" x14ac:dyDescent="0.25">
      <c r="R237" s="175"/>
      <c r="S237" s="175"/>
      <c r="T237" s="175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</row>
    <row r="238" spans="18:46" s="54" customFormat="1" x14ac:dyDescent="0.25">
      <c r="R238" s="175"/>
      <c r="S238" s="175"/>
      <c r="T238" s="175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  <c r="AT238" s="90"/>
    </row>
    <row r="239" spans="18:46" s="54" customFormat="1" x14ac:dyDescent="0.25">
      <c r="R239" s="175"/>
      <c r="S239" s="175"/>
      <c r="T239" s="175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</row>
    <row r="240" spans="18:46" s="54" customFormat="1" x14ac:dyDescent="0.25">
      <c r="R240" s="175"/>
      <c r="S240" s="175"/>
      <c r="T240" s="175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  <c r="AT240" s="90"/>
    </row>
    <row r="241" spans="18:46" s="54" customFormat="1" x14ac:dyDescent="0.25">
      <c r="R241" s="175"/>
      <c r="S241" s="175"/>
      <c r="T241" s="175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  <c r="AT241" s="90"/>
    </row>
    <row r="242" spans="18:46" s="54" customFormat="1" x14ac:dyDescent="0.25">
      <c r="R242" s="175"/>
      <c r="S242" s="175"/>
      <c r="T242" s="175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</row>
    <row r="243" spans="18:46" s="54" customFormat="1" x14ac:dyDescent="0.25">
      <c r="R243" s="175"/>
      <c r="S243" s="175"/>
      <c r="T243" s="175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</row>
    <row r="244" spans="18:46" s="54" customFormat="1" x14ac:dyDescent="0.25">
      <c r="R244" s="175"/>
      <c r="S244" s="175"/>
      <c r="T244" s="175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  <c r="AT244" s="90"/>
    </row>
    <row r="245" spans="18:46" s="54" customFormat="1" x14ac:dyDescent="0.25">
      <c r="R245" s="175"/>
      <c r="S245" s="175"/>
      <c r="T245" s="175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</row>
    <row r="246" spans="18:46" s="54" customFormat="1" x14ac:dyDescent="0.25">
      <c r="R246" s="175"/>
      <c r="S246" s="175"/>
      <c r="T246" s="175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  <c r="AT246" s="90"/>
    </row>
    <row r="247" spans="18:46" s="54" customFormat="1" x14ac:dyDescent="0.25">
      <c r="R247" s="175"/>
      <c r="S247" s="175"/>
      <c r="T247" s="175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  <c r="AT247" s="90"/>
    </row>
    <row r="248" spans="18:46" s="54" customFormat="1" x14ac:dyDescent="0.25">
      <c r="R248" s="175"/>
      <c r="S248" s="175"/>
      <c r="T248" s="175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</row>
    <row r="249" spans="18:46" s="54" customFormat="1" x14ac:dyDescent="0.25">
      <c r="R249" s="175"/>
      <c r="S249" s="175"/>
      <c r="T249" s="175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</row>
    <row r="250" spans="18:46" s="54" customFormat="1" x14ac:dyDescent="0.25">
      <c r="R250" s="175"/>
      <c r="S250" s="175"/>
      <c r="T250" s="175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</row>
    <row r="251" spans="18:46" s="54" customFormat="1" x14ac:dyDescent="0.25">
      <c r="R251" s="175"/>
      <c r="S251" s="175"/>
      <c r="T251" s="175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</row>
    <row r="252" spans="18:46" s="54" customFormat="1" x14ac:dyDescent="0.25">
      <c r="R252" s="175"/>
      <c r="S252" s="175"/>
      <c r="T252" s="175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</row>
    <row r="253" spans="18:46" s="54" customFormat="1" x14ac:dyDescent="0.25">
      <c r="R253" s="175"/>
      <c r="S253" s="175"/>
      <c r="T253" s="175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</row>
    <row r="254" spans="18:46" s="54" customFormat="1" x14ac:dyDescent="0.25">
      <c r="R254" s="175"/>
      <c r="S254" s="175"/>
      <c r="T254" s="175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</row>
    <row r="255" spans="18:46" s="54" customFormat="1" x14ac:dyDescent="0.25">
      <c r="R255" s="175"/>
      <c r="S255" s="175"/>
      <c r="T255" s="175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</row>
    <row r="256" spans="18:46" s="54" customFormat="1" x14ac:dyDescent="0.25">
      <c r="R256" s="175"/>
      <c r="S256" s="175"/>
      <c r="T256" s="175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</row>
    <row r="257" spans="18:46" s="54" customFormat="1" x14ac:dyDescent="0.25">
      <c r="R257" s="175"/>
      <c r="S257" s="175"/>
      <c r="T257" s="175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</row>
    <row r="258" spans="18:46" s="54" customFormat="1" x14ac:dyDescent="0.25">
      <c r="R258" s="175"/>
      <c r="S258" s="175"/>
      <c r="T258" s="175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</row>
    <row r="259" spans="18:46" s="54" customFormat="1" x14ac:dyDescent="0.25">
      <c r="R259" s="175"/>
      <c r="S259" s="175"/>
      <c r="T259" s="175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</row>
    <row r="260" spans="18:46" s="54" customFormat="1" x14ac:dyDescent="0.25">
      <c r="R260" s="175"/>
      <c r="S260" s="175"/>
      <c r="T260" s="175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</row>
    <row r="261" spans="18:46" s="54" customFormat="1" x14ac:dyDescent="0.25">
      <c r="R261" s="175"/>
      <c r="S261" s="175"/>
      <c r="T261" s="175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</row>
    <row r="262" spans="18:46" s="54" customFormat="1" x14ac:dyDescent="0.25">
      <c r="R262" s="175"/>
      <c r="S262" s="175"/>
      <c r="T262" s="175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</row>
    <row r="263" spans="18:46" s="54" customFormat="1" x14ac:dyDescent="0.25">
      <c r="R263" s="175"/>
      <c r="S263" s="175"/>
      <c r="T263" s="175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</row>
    <row r="264" spans="18:46" s="54" customFormat="1" x14ac:dyDescent="0.25">
      <c r="R264" s="175"/>
      <c r="S264" s="175"/>
      <c r="T264" s="175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</row>
    <row r="265" spans="18:46" s="54" customFormat="1" x14ac:dyDescent="0.25">
      <c r="R265" s="175"/>
      <c r="S265" s="175"/>
      <c r="T265" s="175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</row>
    <row r="266" spans="18:46" s="54" customFormat="1" x14ac:dyDescent="0.25">
      <c r="R266" s="175"/>
      <c r="S266" s="175"/>
      <c r="T266" s="175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</row>
    <row r="267" spans="18:46" s="54" customFormat="1" x14ac:dyDescent="0.25">
      <c r="R267" s="175"/>
      <c r="S267" s="175"/>
      <c r="T267" s="175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</row>
    <row r="268" spans="18:46" s="54" customFormat="1" x14ac:dyDescent="0.25">
      <c r="R268" s="175"/>
      <c r="S268" s="175"/>
      <c r="T268" s="175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  <c r="AT268" s="90"/>
    </row>
    <row r="269" spans="18:46" s="54" customFormat="1" x14ac:dyDescent="0.25">
      <c r="R269" s="175"/>
      <c r="S269" s="175"/>
      <c r="T269" s="175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  <c r="AT269" s="90"/>
    </row>
    <row r="270" spans="18:46" s="54" customFormat="1" x14ac:dyDescent="0.25">
      <c r="R270" s="175"/>
      <c r="S270" s="175"/>
      <c r="T270" s="175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</row>
    <row r="271" spans="18:46" s="54" customFormat="1" x14ac:dyDescent="0.25">
      <c r="R271" s="175"/>
      <c r="S271" s="175"/>
      <c r="T271" s="175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</row>
    <row r="272" spans="18:46" s="54" customFormat="1" x14ac:dyDescent="0.25">
      <c r="R272" s="175"/>
      <c r="S272" s="175"/>
      <c r="T272" s="175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</row>
    <row r="273" spans="18:46" s="54" customFormat="1" x14ac:dyDescent="0.25">
      <c r="R273" s="175"/>
      <c r="S273" s="175"/>
      <c r="T273" s="175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</row>
    <row r="274" spans="18:46" s="54" customFormat="1" x14ac:dyDescent="0.25">
      <c r="R274" s="175"/>
      <c r="S274" s="175"/>
      <c r="T274" s="175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</row>
    <row r="275" spans="18:46" s="54" customFormat="1" x14ac:dyDescent="0.25">
      <c r="R275" s="175"/>
      <c r="S275" s="175"/>
      <c r="T275" s="175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</row>
    <row r="276" spans="18:46" s="54" customFormat="1" x14ac:dyDescent="0.25">
      <c r="R276" s="175"/>
      <c r="S276" s="175"/>
      <c r="T276" s="175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</row>
    <row r="277" spans="18:46" s="54" customFormat="1" x14ac:dyDescent="0.25">
      <c r="R277" s="175"/>
      <c r="S277" s="175"/>
      <c r="T277" s="175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</row>
    <row r="278" spans="18:46" s="54" customFormat="1" x14ac:dyDescent="0.25">
      <c r="R278" s="175"/>
      <c r="S278" s="175"/>
      <c r="T278" s="175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</row>
    <row r="279" spans="18:46" s="54" customFormat="1" x14ac:dyDescent="0.25">
      <c r="R279" s="175"/>
      <c r="S279" s="175"/>
      <c r="T279" s="175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</row>
    <row r="280" spans="18:46" s="54" customFormat="1" x14ac:dyDescent="0.25">
      <c r="R280" s="175"/>
      <c r="S280" s="175"/>
      <c r="T280" s="175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</row>
    <row r="281" spans="18:46" s="54" customFormat="1" x14ac:dyDescent="0.25">
      <c r="R281" s="175"/>
      <c r="S281" s="175"/>
      <c r="T281" s="175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</row>
    <row r="282" spans="18:46" s="54" customFormat="1" x14ac:dyDescent="0.25">
      <c r="R282" s="175"/>
      <c r="S282" s="175"/>
      <c r="T282" s="175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</row>
    <row r="283" spans="18:46" s="54" customFormat="1" x14ac:dyDescent="0.25">
      <c r="R283" s="175"/>
      <c r="S283" s="175"/>
      <c r="T283" s="175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</row>
    <row r="284" spans="18:46" s="54" customFormat="1" x14ac:dyDescent="0.25">
      <c r="R284" s="175"/>
      <c r="S284" s="175"/>
      <c r="T284" s="175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</row>
    <row r="285" spans="18:46" s="54" customFormat="1" x14ac:dyDescent="0.25">
      <c r="R285" s="175"/>
      <c r="S285" s="175"/>
      <c r="T285" s="175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</row>
    <row r="286" spans="18:46" s="54" customFormat="1" x14ac:dyDescent="0.25">
      <c r="R286" s="175"/>
      <c r="S286" s="175"/>
      <c r="T286" s="175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</row>
    <row r="287" spans="18:46" s="54" customFormat="1" x14ac:dyDescent="0.25">
      <c r="R287" s="175"/>
      <c r="S287" s="175"/>
      <c r="T287" s="175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</row>
    <row r="288" spans="18:46" s="54" customFormat="1" x14ac:dyDescent="0.25">
      <c r="R288" s="175"/>
      <c r="S288" s="175"/>
      <c r="T288" s="175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</row>
    <row r="289" spans="18:46" s="54" customFormat="1" x14ac:dyDescent="0.25">
      <c r="R289" s="175"/>
      <c r="S289" s="175"/>
      <c r="T289" s="175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</row>
    <row r="290" spans="18:46" s="54" customFormat="1" x14ac:dyDescent="0.25">
      <c r="R290" s="175"/>
      <c r="S290" s="175"/>
      <c r="T290" s="175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  <c r="AT290" s="90"/>
    </row>
    <row r="291" spans="18:46" s="54" customFormat="1" x14ac:dyDescent="0.25">
      <c r="R291" s="175"/>
      <c r="S291" s="175"/>
      <c r="T291" s="175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  <c r="AT291" s="90"/>
    </row>
    <row r="292" spans="18:46" s="54" customFormat="1" x14ac:dyDescent="0.25">
      <c r="R292" s="175"/>
      <c r="S292" s="175"/>
      <c r="T292" s="175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</row>
    <row r="293" spans="18:46" s="54" customFormat="1" x14ac:dyDescent="0.25">
      <c r="R293" s="175"/>
      <c r="S293" s="175"/>
      <c r="T293" s="175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</row>
    <row r="294" spans="18:46" s="54" customFormat="1" x14ac:dyDescent="0.25">
      <c r="R294" s="175"/>
      <c r="S294" s="175"/>
      <c r="T294" s="175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</row>
    <row r="295" spans="18:46" s="54" customFormat="1" x14ac:dyDescent="0.25">
      <c r="R295" s="175"/>
      <c r="S295" s="175"/>
      <c r="T295" s="175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</row>
    <row r="296" spans="18:46" s="54" customFormat="1" x14ac:dyDescent="0.25">
      <c r="R296" s="175"/>
      <c r="S296" s="175"/>
      <c r="T296" s="175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</row>
    <row r="297" spans="18:46" s="54" customFormat="1" x14ac:dyDescent="0.25">
      <c r="R297" s="175"/>
      <c r="S297" s="175"/>
      <c r="T297" s="175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</row>
    <row r="298" spans="18:46" s="54" customFormat="1" x14ac:dyDescent="0.25">
      <c r="R298" s="175"/>
      <c r="S298" s="175"/>
      <c r="T298" s="175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</row>
    <row r="299" spans="18:46" s="54" customFormat="1" x14ac:dyDescent="0.25">
      <c r="R299" s="175"/>
      <c r="S299" s="175"/>
      <c r="T299" s="175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</row>
    <row r="300" spans="18:46" s="54" customFormat="1" x14ac:dyDescent="0.25">
      <c r="R300" s="175"/>
      <c r="S300" s="175"/>
      <c r="T300" s="175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</row>
    <row r="301" spans="18:46" s="54" customFormat="1" x14ac:dyDescent="0.25">
      <c r="R301" s="175"/>
      <c r="S301" s="175"/>
      <c r="T301" s="175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</row>
    <row r="302" spans="18:46" s="54" customFormat="1" x14ac:dyDescent="0.25">
      <c r="R302" s="175"/>
      <c r="S302" s="175"/>
      <c r="T302" s="175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</row>
    <row r="303" spans="18:46" s="54" customFormat="1" x14ac:dyDescent="0.25">
      <c r="R303" s="175"/>
      <c r="S303" s="175"/>
      <c r="T303" s="175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</row>
    <row r="304" spans="18:46" s="54" customFormat="1" x14ac:dyDescent="0.25">
      <c r="R304" s="175"/>
      <c r="S304" s="175"/>
      <c r="T304" s="175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</row>
    <row r="305" spans="18:46" s="54" customFormat="1" x14ac:dyDescent="0.25">
      <c r="R305" s="175"/>
      <c r="S305" s="175"/>
      <c r="T305" s="175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</row>
    <row r="306" spans="18:46" s="54" customFormat="1" x14ac:dyDescent="0.25">
      <c r="R306" s="175"/>
      <c r="S306" s="175"/>
      <c r="T306" s="175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</row>
    <row r="307" spans="18:46" s="54" customFormat="1" x14ac:dyDescent="0.25">
      <c r="R307" s="175"/>
      <c r="S307" s="175"/>
      <c r="T307" s="175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</row>
    <row r="308" spans="18:46" s="54" customFormat="1" x14ac:dyDescent="0.25">
      <c r="R308" s="175"/>
      <c r="S308" s="175"/>
      <c r="T308" s="175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</row>
    <row r="309" spans="18:46" s="54" customFormat="1" x14ac:dyDescent="0.25">
      <c r="R309" s="175"/>
      <c r="S309" s="175"/>
      <c r="T309" s="175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</row>
    <row r="310" spans="18:46" s="54" customFormat="1" x14ac:dyDescent="0.25">
      <c r="R310" s="175"/>
      <c r="S310" s="175"/>
      <c r="T310" s="175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</row>
    <row r="311" spans="18:46" s="54" customFormat="1" x14ac:dyDescent="0.25">
      <c r="R311" s="175"/>
      <c r="S311" s="175"/>
      <c r="T311" s="175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</row>
    <row r="312" spans="18:46" s="54" customFormat="1" x14ac:dyDescent="0.25">
      <c r="R312" s="175"/>
      <c r="S312" s="175"/>
      <c r="T312" s="175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  <c r="AT312" s="90"/>
    </row>
    <row r="313" spans="18:46" s="54" customFormat="1" x14ac:dyDescent="0.25">
      <c r="R313" s="175"/>
      <c r="S313" s="175"/>
      <c r="T313" s="175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  <c r="AT313" s="90"/>
    </row>
    <row r="314" spans="18:46" s="54" customFormat="1" x14ac:dyDescent="0.25">
      <c r="R314" s="175"/>
      <c r="S314" s="175"/>
      <c r="T314" s="175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</row>
    <row r="315" spans="18:46" s="54" customFormat="1" x14ac:dyDescent="0.25">
      <c r="R315" s="175"/>
      <c r="S315" s="175"/>
      <c r="T315" s="175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</row>
    <row r="316" spans="18:46" s="54" customFormat="1" x14ac:dyDescent="0.25">
      <c r="R316" s="175"/>
      <c r="S316" s="175"/>
      <c r="T316" s="175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</row>
    <row r="317" spans="18:46" s="54" customFormat="1" x14ac:dyDescent="0.25">
      <c r="R317" s="175"/>
      <c r="S317" s="175"/>
      <c r="T317" s="175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</row>
    <row r="318" spans="18:46" s="54" customFormat="1" x14ac:dyDescent="0.25">
      <c r="R318" s="175"/>
      <c r="S318" s="175"/>
      <c r="T318" s="175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</row>
    <row r="319" spans="18:46" s="54" customFormat="1" x14ac:dyDescent="0.25">
      <c r="R319" s="175"/>
      <c r="S319" s="175"/>
      <c r="T319" s="175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</row>
    <row r="320" spans="18:46" s="54" customFormat="1" x14ac:dyDescent="0.25">
      <c r="R320" s="175"/>
      <c r="S320" s="175"/>
      <c r="T320" s="175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  <c r="AT320" s="90"/>
    </row>
    <row r="321" spans="18:46" s="54" customFormat="1" x14ac:dyDescent="0.25">
      <c r="R321" s="175"/>
      <c r="S321" s="175"/>
      <c r="T321" s="175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  <c r="AT321" s="90"/>
    </row>
    <row r="322" spans="18:46" s="54" customFormat="1" x14ac:dyDescent="0.25">
      <c r="R322" s="175"/>
      <c r="S322" s="175"/>
      <c r="T322" s="175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  <c r="AT322" s="90"/>
    </row>
    <row r="323" spans="18:46" s="54" customFormat="1" x14ac:dyDescent="0.25">
      <c r="R323" s="175"/>
      <c r="S323" s="175"/>
      <c r="T323" s="175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  <c r="AT323" s="90"/>
    </row>
    <row r="324" spans="18:46" s="54" customFormat="1" x14ac:dyDescent="0.25">
      <c r="R324" s="175"/>
      <c r="S324" s="175"/>
      <c r="T324" s="175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  <c r="AT324" s="90"/>
    </row>
    <row r="325" spans="18:46" s="54" customFormat="1" x14ac:dyDescent="0.25">
      <c r="R325" s="175"/>
      <c r="S325" s="175"/>
      <c r="T325" s="175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  <c r="AT325" s="90"/>
    </row>
    <row r="326" spans="18:46" s="54" customFormat="1" x14ac:dyDescent="0.25">
      <c r="R326" s="175"/>
      <c r="S326" s="175"/>
      <c r="T326" s="175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  <c r="AT326" s="90"/>
    </row>
    <row r="327" spans="18:46" s="54" customFormat="1" x14ac:dyDescent="0.25">
      <c r="R327" s="175"/>
      <c r="S327" s="175"/>
      <c r="T327" s="175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  <c r="AT327" s="90"/>
    </row>
    <row r="328" spans="18:46" s="54" customFormat="1" x14ac:dyDescent="0.25">
      <c r="R328" s="175"/>
      <c r="S328" s="175"/>
      <c r="T328" s="175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  <c r="AT328" s="90"/>
    </row>
    <row r="329" spans="18:46" s="54" customFormat="1" x14ac:dyDescent="0.25">
      <c r="R329" s="175"/>
      <c r="S329" s="175"/>
      <c r="T329" s="175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  <c r="AT329" s="90"/>
    </row>
    <row r="330" spans="18:46" s="54" customFormat="1" x14ac:dyDescent="0.25">
      <c r="R330" s="175"/>
      <c r="S330" s="175"/>
      <c r="T330" s="175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  <c r="AT330" s="90"/>
    </row>
    <row r="331" spans="18:46" s="54" customFormat="1" x14ac:dyDescent="0.25">
      <c r="R331" s="175"/>
      <c r="S331" s="175"/>
      <c r="T331" s="175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  <c r="AT331" s="90"/>
    </row>
    <row r="332" spans="18:46" s="54" customFormat="1" x14ac:dyDescent="0.25">
      <c r="R332" s="175"/>
      <c r="S332" s="175"/>
      <c r="T332" s="175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  <c r="AT332" s="90"/>
    </row>
    <row r="333" spans="18:46" s="54" customFormat="1" x14ac:dyDescent="0.25">
      <c r="R333" s="175"/>
      <c r="S333" s="175"/>
      <c r="T333" s="175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  <c r="AT333" s="90"/>
    </row>
    <row r="334" spans="18:46" s="54" customFormat="1" x14ac:dyDescent="0.25">
      <c r="R334" s="175"/>
      <c r="S334" s="175"/>
      <c r="T334" s="175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  <c r="AT334" s="90"/>
    </row>
    <row r="335" spans="18:46" s="54" customFormat="1" x14ac:dyDescent="0.25">
      <c r="R335" s="175"/>
      <c r="S335" s="175"/>
      <c r="T335" s="175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  <c r="AT335" s="90"/>
    </row>
    <row r="336" spans="18:46" s="54" customFormat="1" x14ac:dyDescent="0.25">
      <c r="R336" s="175"/>
      <c r="S336" s="175"/>
      <c r="T336" s="175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  <c r="AT336" s="90"/>
    </row>
    <row r="337" spans="18:46" s="54" customFormat="1" x14ac:dyDescent="0.25">
      <c r="R337" s="175"/>
      <c r="S337" s="175"/>
      <c r="T337" s="175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  <c r="AT337" s="90"/>
    </row>
    <row r="338" spans="18:46" s="54" customFormat="1" x14ac:dyDescent="0.25">
      <c r="R338" s="175"/>
      <c r="S338" s="175"/>
      <c r="T338" s="175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  <c r="AT338" s="90"/>
    </row>
    <row r="339" spans="18:46" s="54" customFormat="1" x14ac:dyDescent="0.25">
      <c r="R339" s="175"/>
      <c r="S339" s="175"/>
      <c r="T339" s="175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  <c r="AT339" s="90"/>
    </row>
    <row r="340" spans="18:46" s="54" customFormat="1" x14ac:dyDescent="0.25">
      <c r="R340" s="175"/>
      <c r="S340" s="175"/>
      <c r="T340" s="175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  <c r="AT340" s="90"/>
    </row>
    <row r="341" spans="18:46" s="54" customFormat="1" x14ac:dyDescent="0.25">
      <c r="R341" s="175"/>
      <c r="S341" s="175"/>
      <c r="T341" s="175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  <c r="AT341" s="90"/>
    </row>
    <row r="342" spans="18:46" s="54" customFormat="1" x14ac:dyDescent="0.25">
      <c r="R342" s="175"/>
      <c r="S342" s="175"/>
      <c r="T342" s="175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  <c r="AT342" s="90"/>
    </row>
    <row r="343" spans="18:46" s="54" customFormat="1" x14ac:dyDescent="0.25">
      <c r="R343" s="175"/>
      <c r="S343" s="175"/>
      <c r="T343" s="175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  <c r="AT343" s="90"/>
    </row>
    <row r="344" spans="18:46" s="54" customFormat="1" x14ac:dyDescent="0.25">
      <c r="R344" s="175"/>
      <c r="S344" s="175"/>
      <c r="T344" s="175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  <c r="AT344" s="90"/>
    </row>
    <row r="345" spans="18:46" s="54" customFormat="1" x14ac:dyDescent="0.25">
      <c r="R345" s="175"/>
      <c r="S345" s="175"/>
      <c r="T345" s="175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  <c r="AT345" s="90"/>
    </row>
    <row r="346" spans="18:46" s="54" customFormat="1" x14ac:dyDescent="0.25">
      <c r="R346" s="175"/>
      <c r="S346" s="175"/>
      <c r="T346" s="175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  <c r="AT346" s="90"/>
    </row>
    <row r="347" spans="18:46" s="54" customFormat="1" x14ac:dyDescent="0.25">
      <c r="R347" s="175"/>
      <c r="S347" s="175"/>
      <c r="T347" s="175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  <c r="AT347" s="90"/>
    </row>
    <row r="348" spans="18:46" s="54" customFormat="1" x14ac:dyDescent="0.25">
      <c r="R348" s="175"/>
      <c r="S348" s="175"/>
      <c r="T348" s="175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  <c r="AT348" s="90"/>
    </row>
    <row r="349" spans="18:46" s="54" customFormat="1" x14ac:dyDescent="0.25">
      <c r="R349" s="175"/>
      <c r="S349" s="175"/>
      <c r="T349" s="175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  <c r="AT349" s="90"/>
    </row>
    <row r="350" spans="18:46" s="54" customFormat="1" x14ac:dyDescent="0.25">
      <c r="R350" s="175"/>
      <c r="S350" s="175"/>
      <c r="T350" s="175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  <c r="AT350" s="90"/>
    </row>
    <row r="351" spans="18:46" s="54" customFormat="1" x14ac:dyDescent="0.25">
      <c r="R351" s="175"/>
      <c r="S351" s="175"/>
      <c r="T351" s="175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  <c r="AT351" s="90"/>
    </row>
    <row r="352" spans="18:46" s="54" customFormat="1" x14ac:dyDescent="0.25">
      <c r="R352" s="175"/>
      <c r="S352" s="175"/>
      <c r="T352" s="175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  <c r="AT352" s="90"/>
    </row>
    <row r="353" spans="18:46" s="54" customFormat="1" x14ac:dyDescent="0.25">
      <c r="R353" s="175"/>
      <c r="S353" s="175"/>
      <c r="T353" s="175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  <c r="AT353" s="90"/>
    </row>
    <row r="354" spans="18:46" s="54" customFormat="1" x14ac:dyDescent="0.25">
      <c r="R354" s="175"/>
      <c r="S354" s="175"/>
      <c r="T354" s="175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  <c r="AT354" s="90"/>
    </row>
    <row r="355" spans="18:46" s="54" customFormat="1" x14ac:dyDescent="0.25">
      <c r="R355" s="175"/>
      <c r="S355" s="175"/>
      <c r="T355" s="175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  <c r="AT355" s="90"/>
    </row>
    <row r="356" spans="18:46" s="54" customFormat="1" x14ac:dyDescent="0.25">
      <c r="R356" s="175"/>
      <c r="S356" s="175"/>
      <c r="T356" s="175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  <c r="AT356" s="90"/>
    </row>
    <row r="357" spans="18:46" s="54" customFormat="1" x14ac:dyDescent="0.25">
      <c r="R357" s="175"/>
      <c r="S357" s="175"/>
      <c r="T357" s="175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  <c r="AT357" s="90"/>
    </row>
    <row r="358" spans="18:46" s="54" customFormat="1" x14ac:dyDescent="0.25">
      <c r="R358" s="175"/>
      <c r="S358" s="175"/>
      <c r="T358" s="175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</row>
    <row r="359" spans="18:46" s="54" customFormat="1" x14ac:dyDescent="0.25">
      <c r="R359" s="175"/>
      <c r="S359" s="175"/>
      <c r="T359" s="175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</row>
    <row r="360" spans="18:46" s="54" customFormat="1" x14ac:dyDescent="0.25">
      <c r="R360" s="175"/>
      <c r="S360" s="175"/>
      <c r="T360" s="175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</row>
    <row r="361" spans="18:46" s="54" customFormat="1" x14ac:dyDescent="0.25">
      <c r="R361" s="175"/>
      <c r="S361" s="175"/>
      <c r="T361" s="175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</row>
    <row r="362" spans="18:46" s="54" customFormat="1" x14ac:dyDescent="0.25">
      <c r="R362" s="175"/>
      <c r="S362" s="175"/>
      <c r="T362" s="175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</row>
    <row r="363" spans="18:46" s="54" customFormat="1" x14ac:dyDescent="0.25">
      <c r="R363" s="175"/>
      <c r="S363" s="175"/>
      <c r="T363" s="175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</row>
    <row r="364" spans="18:46" s="54" customFormat="1" x14ac:dyDescent="0.25">
      <c r="R364" s="175"/>
      <c r="S364" s="175"/>
      <c r="T364" s="175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</row>
    <row r="365" spans="18:46" s="54" customFormat="1" x14ac:dyDescent="0.25">
      <c r="R365" s="175"/>
      <c r="S365" s="175"/>
      <c r="T365" s="175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</row>
    <row r="366" spans="18:46" s="54" customFormat="1" x14ac:dyDescent="0.25">
      <c r="R366" s="175"/>
      <c r="S366" s="175"/>
      <c r="T366" s="175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</row>
    <row r="367" spans="18:46" s="54" customFormat="1" x14ac:dyDescent="0.25">
      <c r="R367" s="175"/>
      <c r="S367" s="175"/>
      <c r="T367" s="175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</row>
    <row r="368" spans="18:46" s="54" customFormat="1" x14ac:dyDescent="0.25">
      <c r="R368" s="175"/>
      <c r="S368" s="175"/>
      <c r="T368" s="175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</row>
    <row r="369" spans="18:46" s="54" customFormat="1" x14ac:dyDescent="0.25">
      <c r="R369" s="175"/>
      <c r="S369" s="175"/>
      <c r="T369" s="175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</row>
    <row r="370" spans="18:46" s="54" customFormat="1" x14ac:dyDescent="0.25">
      <c r="R370" s="175"/>
      <c r="S370" s="175"/>
      <c r="T370" s="175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</row>
    <row r="371" spans="18:46" s="54" customFormat="1" x14ac:dyDescent="0.25">
      <c r="R371" s="175"/>
      <c r="S371" s="175"/>
      <c r="T371" s="175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</row>
    <row r="372" spans="18:46" s="54" customFormat="1" x14ac:dyDescent="0.25">
      <c r="R372" s="175"/>
      <c r="S372" s="175"/>
      <c r="T372" s="175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</row>
    <row r="373" spans="18:46" s="54" customFormat="1" x14ac:dyDescent="0.25">
      <c r="R373" s="175"/>
      <c r="S373" s="175"/>
      <c r="T373" s="175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</row>
    <row r="374" spans="18:46" s="54" customFormat="1" x14ac:dyDescent="0.25">
      <c r="R374" s="175"/>
      <c r="S374" s="175"/>
      <c r="T374" s="175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</row>
    <row r="375" spans="18:46" s="54" customFormat="1" x14ac:dyDescent="0.25">
      <c r="R375" s="175"/>
      <c r="S375" s="175"/>
      <c r="T375" s="175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</row>
    <row r="376" spans="18:46" s="54" customFormat="1" x14ac:dyDescent="0.25">
      <c r="R376" s="175"/>
      <c r="S376" s="175"/>
      <c r="T376" s="175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</row>
    <row r="377" spans="18:46" s="54" customFormat="1" x14ac:dyDescent="0.25">
      <c r="R377" s="175"/>
      <c r="S377" s="175"/>
      <c r="T377" s="175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</row>
    <row r="378" spans="18:46" s="54" customFormat="1" x14ac:dyDescent="0.25">
      <c r="R378" s="175"/>
      <c r="S378" s="175"/>
      <c r="T378" s="175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  <c r="AT378" s="90"/>
    </row>
    <row r="379" spans="18:46" s="54" customFormat="1" x14ac:dyDescent="0.25">
      <c r="R379" s="175"/>
      <c r="S379" s="175"/>
      <c r="T379" s="175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  <c r="AT379" s="90"/>
    </row>
    <row r="380" spans="18:46" s="54" customFormat="1" x14ac:dyDescent="0.25">
      <c r="R380" s="175"/>
      <c r="S380" s="175"/>
      <c r="T380" s="175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  <c r="AT380" s="90"/>
    </row>
    <row r="381" spans="18:46" s="54" customFormat="1" x14ac:dyDescent="0.25">
      <c r="R381" s="175"/>
      <c r="S381" s="175"/>
      <c r="T381" s="175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  <c r="AT381" s="90"/>
    </row>
    <row r="382" spans="18:46" s="54" customFormat="1" x14ac:dyDescent="0.25">
      <c r="R382" s="175"/>
      <c r="S382" s="175"/>
      <c r="T382" s="175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  <c r="AT382" s="90"/>
    </row>
    <row r="383" spans="18:46" s="54" customFormat="1" x14ac:dyDescent="0.25">
      <c r="R383" s="175"/>
      <c r="S383" s="175"/>
      <c r="T383" s="175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  <c r="AT383" s="90"/>
    </row>
    <row r="384" spans="18:46" s="54" customFormat="1" x14ac:dyDescent="0.25">
      <c r="R384" s="175"/>
      <c r="S384" s="175"/>
      <c r="T384" s="175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  <c r="AT384" s="90"/>
    </row>
    <row r="385" spans="18:46" s="54" customFormat="1" x14ac:dyDescent="0.25">
      <c r="R385" s="175"/>
      <c r="S385" s="175"/>
      <c r="T385" s="175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  <c r="AT385" s="90"/>
    </row>
    <row r="386" spans="18:46" s="54" customFormat="1" x14ac:dyDescent="0.25">
      <c r="R386" s="175"/>
      <c r="S386" s="175"/>
      <c r="T386" s="175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  <c r="AT386" s="90"/>
    </row>
    <row r="387" spans="18:46" s="54" customFormat="1" x14ac:dyDescent="0.25">
      <c r="R387" s="175"/>
      <c r="S387" s="175"/>
      <c r="T387" s="175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  <c r="AT387" s="90"/>
    </row>
    <row r="388" spans="18:46" s="54" customFormat="1" x14ac:dyDescent="0.25">
      <c r="R388" s="175"/>
      <c r="S388" s="175"/>
      <c r="T388" s="175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  <c r="AT388" s="90"/>
    </row>
    <row r="389" spans="18:46" s="54" customFormat="1" x14ac:dyDescent="0.25">
      <c r="R389" s="175"/>
      <c r="S389" s="175"/>
      <c r="T389" s="175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  <c r="AT389" s="90"/>
    </row>
    <row r="390" spans="18:46" s="54" customFormat="1" x14ac:dyDescent="0.25">
      <c r="R390" s="175"/>
      <c r="S390" s="175"/>
      <c r="T390" s="175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  <c r="AT390" s="90"/>
    </row>
    <row r="391" spans="18:46" s="54" customFormat="1" x14ac:dyDescent="0.25">
      <c r="R391" s="175"/>
      <c r="S391" s="175"/>
      <c r="T391" s="175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  <c r="AT391" s="90"/>
    </row>
    <row r="392" spans="18:46" s="54" customFormat="1" x14ac:dyDescent="0.25">
      <c r="R392" s="175"/>
      <c r="S392" s="175"/>
      <c r="T392" s="175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  <c r="AT392" s="90"/>
    </row>
    <row r="393" spans="18:46" s="54" customFormat="1" x14ac:dyDescent="0.25">
      <c r="R393" s="175"/>
      <c r="S393" s="175"/>
      <c r="T393" s="175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  <c r="AT393" s="90"/>
    </row>
    <row r="394" spans="18:46" s="54" customFormat="1" x14ac:dyDescent="0.25">
      <c r="R394" s="175"/>
      <c r="S394" s="175"/>
      <c r="T394" s="175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  <c r="AT394" s="90"/>
    </row>
    <row r="395" spans="18:46" s="54" customFormat="1" x14ac:dyDescent="0.25">
      <c r="R395" s="175"/>
      <c r="S395" s="175"/>
      <c r="T395" s="175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  <c r="AT395" s="90"/>
    </row>
    <row r="396" spans="18:46" s="54" customFormat="1" x14ac:dyDescent="0.25">
      <c r="R396" s="175"/>
      <c r="S396" s="175"/>
      <c r="T396" s="175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  <c r="AT396" s="90"/>
    </row>
    <row r="397" spans="18:46" s="54" customFormat="1" x14ac:dyDescent="0.25">
      <c r="R397" s="175"/>
      <c r="S397" s="175"/>
      <c r="T397" s="175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  <c r="AT397" s="90"/>
    </row>
    <row r="398" spans="18:46" s="54" customFormat="1" x14ac:dyDescent="0.25">
      <c r="R398" s="175"/>
      <c r="S398" s="175"/>
      <c r="T398" s="175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  <c r="AT398" s="90"/>
    </row>
    <row r="399" spans="18:46" s="54" customFormat="1" x14ac:dyDescent="0.25">
      <c r="R399" s="175"/>
      <c r="S399" s="175"/>
      <c r="T399" s="175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</row>
    <row r="400" spans="18:46" s="54" customFormat="1" x14ac:dyDescent="0.25">
      <c r="R400" s="175"/>
      <c r="S400" s="175"/>
      <c r="T400" s="175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</row>
    <row r="401" spans="18:46" s="54" customFormat="1" x14ac:dyDescent="0.25">
      <c r="R401" s="175"/>
      <c r="S401" s="175"/>
      <c r="T401" s="175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</row>
    <row r="402" spans="18:46" s="54" customFormat="1" x14ac:dyDescent="0.25">
      <c r="R402" s="175"/>
      <c r="S402" s="175"/>
      <c r="T402" s="175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</row>
    <row r="403" spans="18:46" s="54" customFormat="1" x14ac:dyDescent="0.25">
      <c r="R403" s="175"/>
      <c r="S403" s="175"/>
      <c r="T403" s="175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</row>
    <row r="404" spans="18:46" s="54" customFormat="1" x14ac:dyDescent="0.25">
      <c r="R404" s="175"/>
      <c r="S404" s="175"/>
      <c r="T404" s="175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</row>
    <row r="405" spans="18:46" s="54" customFormat="1" x14ac:dyDescent="0.25">
      <c r="R405" s="175"/>
      <c r="S405" s="175"/>
      <c r="T405" s="175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</row>
    <row r="406" spans="18:46" s="54" customFormat="1" x14ac:dyDescent="0.25">
      <c r="R406" s="175"/>
      <c r="S406" s="175"/>
      <c r="T406" s="175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</row>
    <row r="407" spans="18:46" s="54" customFormat="1" x14ac:dyDescent="0.25">
      <c r="R407" s="175"/>
      <c r="S407" s="175"/>
      <c r="T407" s="175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</row>
    <row r="408" spans="18:46" s="54" customFormat="1" x14ac:dyDescent="0.25">
      <c r="R408" s="175"/>
      <c r="S408" s="175"/>
      <c r="T408" s="175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</row>
    <row r="409" spans="18:46" s="54" customFormat="1" x14ac:dyDescent="0.25">
      <c r="R409" s="175"/>
      <c r="S409" s="175"/>
      <c r="T409" s="175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</row>
    <row r="410" spans="18:46" s="54" customFormat="1" x14ac:dyDescent="0.25">
      <c r="R410" s="175"/>
      <c r="S410" s="175"/>
      <c r="T410" s="175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</row>
    <row r="411" spans="18:46" s="54" customFormat="1" x14ac:dyDescent="0.25">
      <c r="R411" s="175"/>
      <c r="S411" s="175"/>
      <c r="T411" s="175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</row>
    <row r="412" spans="18:46" s="54" customFormat="1" x14ac:dyDescent="0.25">
      <c r="R412" s="175"/>
      <c r="S412" s="175"/>
      <c r="T412" s="175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</row>
    <row r="413" spans="18:46" s="54" customFormat="1" x14ac:dyDescent="0.25">
      <c r="R413" s="175"/>
      <c r="S413" s="175"/>
      <c r="T413" s="175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</row>
    <row r="414" spans="18:46" s="54" customFormat="1" x14ac:dyDescent="0.25">
      <c r="R414" s="175"/>
      <c r="S414" s="175"/>
      <c r="T414" s="175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</row>
    <row r="415" spans="18:46" s="54" customFormat="1" x14ac:dyDescent="0.25">
      <c r="R415" s="175"/>
      <c r="S415" s="175"/>
      <c r="T415" s="175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</row>
    <row r="416" spans="18:46" s="54" customFormat="1" x14ac:dyDescent="0.25">
      <c r="R416" s="175"/>
      <c r="S416" s="175"/>
      <c r="T416" s="175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</row>
    <row r="417" spans="18:46" s="54" customFormat="1" x14ac:dyDescent="0.25">
      <c r="R417" s="175"/>
      <c r="S417" s="175"/>
      <c r="T417" s="175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</row>
    <row r="418" spans="18:46" s="54" customFormat="1" x14ac:dyDescent="0.25">
      <c r="R418" s="175"/>
      <c r="S418" s="175"/>
      <c r="T418" s="175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</row>
    <row r="419" spans="18:46" s="54" customFormat="1" x14ac:dyDescent="0.25">
      <c r="R419" s="175"/>
      <c r="S419" s="175"/>
      <c r="T419" s="175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  <c r="AT419" s="90"/>
    </row>
    <row r="420" spans="18:46" s="54" customFormat="1" x14ac:dyDescent="0.25">
      <c r="R420" s="175"/>
      <c r="S420" s="175"/>
      <c r="T420" s="175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  <c r="AT420" s="90"/>
    </row>
    <row r="421" spans="18:46" s="54" customFormat="1" x14ac:dyDescent="0.25">
      <c r="R421" s="175"/>
      <c r="S421" s="175"/>
      <c r="T421" s="175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  <c r="AT421" s="90"/>
    </row>
    <row r="422" spans="18:46" s="54" customFormat="1" x14ac:dyDescent="0.25">
      <c r="R422" s="175"/>
      <c r="S422" s="175"/>
      <c r="T422" s="175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  <c r="AT422" s="90"/>
    </row>
    <row r="423" spans="18:46" s="54" customFormat="1" x14ac:dyDescent="0.25">
      <c r="R423" s="175"/>
      <c r="S423" s="175"/>
      <c r="T423" s="175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  <c r="AT423" s="90"/>
    </row>
    <row r="424" spans="18:46" s="54" customFormat="1" x14ac:dyDescent="0.25">
      <c r="R424" s="175"/>
      <c r="S424" s="175"/>
      <c r="T424" s="175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  <c r="AT424" s="90"/>
    </row>
    <row r="425" spans="18:46" s="54" customFormat="1" x14ac:dyDescent="0.25">
      <c r="R425" s="175"/>
      <c r="S425" s="175"/>
      <c r="T425" s="175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  <c r="AT425" s="90"/>
    </row>
    <row r="426" spans="18:46" s="54" customFormat="1" x14ac:dyDescent="0.25">
      <c r="R426" s="175"/>
      <c r="S426" s="175"/>
      <c r="T426" s="175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  <c r="AT426" s="90"/>
    </row>
    <row r="427" spans="18:46" s="54" customFormat="1" x14ac:dyDescent="0.25">
      <c r="R427" s="175"/>
      <c r="S427" s="175"/>
      <c r="T427" s="175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  <c r="AT427" s="90"/>
    </row>
    <row r="428" spans="18:46" s="54" customFormat="1" x14ac:dyDescent="0.25">
      <c r="R428" s="175"/>
      <c r="S428" s="175"/>
      <c r="T428" s="175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  <c r="AT428" s="90"/>
    </row>
    <row r="429" spans="18:46" s="54" customFormat="1" x14ac:dyDescent="0.25">
      <c r="R429" s="175"/>
      <c r="S429" s="175"/>
      <c r="T429" s="175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  <c r="AT429" s="90"/>
    </row>
    <row r="430" spans="18:46" s="54" customFormat="1" x14ac:dyDescent="0.25">
      <c r="R430" s="175"/>
      <c r="S430" s="175"/>
      <c r="T430" s="175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  <c r="AT430" s="90"/>
    </row>
    <row r="431" spans="18:46" s="54" customFormat="1" x14ac:dyDescent="0.25">
      <c r="R431" s="175"/>
      <c r="S431" s="175"/>
      <c r="T431" s="175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  <c r="AT431" s="90"/>
    </row>
    <row r="432" spans="18:46" s="54" customFormat="1" x14ac:dyDescent="0.25">
      <c r="R432" s="175"/>
      <c r="S432" s="175"/>
      <c r="T432" s="175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  <c r="AT432" s="90"/>
    </row>
    <row r="433" spans="18:46" s="54" customFormat="1" x14ac:dyDescent="0.25">
      <c r="R433" s="175"/>
      <c r="S433" s="175"/>
      <c r="T433" s="175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  <c r="AT433" s="90"/>
    </row>
    <row r="434" spans="18:46" s="54" customFormat="1" x14ac:dyDescent="0.25">
      <c r="R434" s="175"/>
      <c r="S434" s="175"/>
      <c r="T434" s="175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  <c r="AT434" s="90"/>
    </row>
    <row r="435" spans="18:46" s="54" customFormat="1" x14ac:dyDescent="0.25">
      <c r="R435" s="175"/>
      <c r="S435" s="175"/>
      <c r="T435" s="175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  <c r="AT435" s="90"/>
    </row>
    <row r="436" spans="18:46" s="54" customFormat="1" x14ac:dyDescent="0.25">
      <c r="R436" s="175"/>
      <c r="S436" s="175"/>
      <c r="T436" s="175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  <c r="AT436" s="90"/>
    </row>
    <row r="437" spans="18:46" s="54" customFormat="1" x14ac:dyDescent="0.25">
      <c r="R437" s="175"/>
      <c r="S437" s="175"/>
      <c r="T437" s="175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  <c r="AT437" s="90"/>
    </row>
    <row r="438" spans="18:46" s="54" customFormat="1" x14ac:dyDescent="0.25">
      <c r="R438" s="175"/>
      <c r="S438" s="175"/>
      <c r="T438" s="175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</row>
    <row r="439" spans="18:46" s="54" customFormat="1" x14ac:dyDescent="0.25">
      <c r="R439" s="175"/>
      <c r="S439" s="175"/>
      <c r="T439" s="175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</row>
    <row r="440" spans="18:46" s="54" customFormat="1" x14ac:dyDescent="0.25">
      <c r="R440" s="175"/>
      <c r="S440" s="175"/>
      <c r="T440" s="175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</row>
    <row r="441" spans="18:46" s="54" customFormat="1" x14ac:dyDescent="0.25">
      <c r="R441" s="175"/>
      <c r="S441" s="175"/>
      <c r="T441" s="175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</row>
    <row r="442" spans="18:46" s="54" customFormat="1" x14ac:dyDescent="0.25">
      <c r="R442" s="175"/>
      <c r="S442" s="175"/>
      <c r="T442" s="175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</row>
  </sheetData>
  <autoFilter ref="A14:BO36" xr:uid="{92C95985-F253-4C23-9EA0-AFC393028D2A}"/>
  <mergeCells count="16">
    <mergeCell ref="R13:T13"/>
    <mergeCell ref="E39:I39"/>
    <mergeCell ref="M39:P39"/>
    <mergeCell ref="A1:Q1"/>
    <mergeCell ref="A3:Q3"/>
    <mergeCell ref="A4:Q4"/>
    <mergeCell ref="A13:A14"/>
    <mergeCell ref="B13:B14"/>
    <mergeCell ref="C13:C14"/>
    <mergeCell ref="D13:D14"/>
    <mergeCell ref="E13:E14"/>
    <mergeCell ref="F13:F14"/>
    <mergeCell ref="G13:G14"/>
    <mergeCell ref="H13:H14"/>
    <mergeCell ref="I13:L13"/>
    <mergeCell ref="M13:Q13"/>
  </mergeCells>
  <conditionalFormatting sqref="C15">
    <cfRule type="expression" priority="4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53A1A-F9C6-499B-8C96-B1D30678950E}">
  <sheetPr>
    <tabColor rgb="FFFFC000"/>
    <pageSetUpPr fitToPage="1"/>
  </sheetPr>
  <dimension ref="A1:AF366"/>
  <sheetViews>
    <sheetView showZeros="0" topLeftCell="A27" zoomScaleNormal="100" workbookViewId="0">
      <selection activeCell="D43" sqref="D43"/>
    </sheetView>
  </sheetViews>
  <sheetFormatPr defaultRowHeight="15" outlineLevelCol="1" x14ac:dyDescent="0.25"/>
  <cols>
    <col min="1" max="2" width="9.7109375" customWidth="1"/>
    <col min="3" max="3" width="42.7109375" customWidth="1"/>
    <col min="4" max="8" width="15.7109375" customWidth="1"/>
    <col min="9" max="9" width="8.85546875" style="90"/>
    <col min="10" max="10" width="9.7109375" style="90" customWidth="1" outlineLevel="1"/>
    <col min="11" max="11" width="8.85546875" style="90" customWidth="1" outlineLevel="1"/>
    <col min="12" max="12" width="11.28515625" style="90" customWidth="1" outlineLevel="1"/>
    <col min="13" max="13" width="11" style="90" bestFit="1" customWidth="1"/>
    <col min="14" max="14" width="10.5703125" style="90" bestFit="1" customWidth="1"/>
    <col min="15" max="15" width="9.28515625" style="90" bestFit="1" customWidth="1"/>
    <col min="16" max="21" width="8.85546875" style="90"/>
    <col min="22" max="25" width="8.85546875" style="55"/>
  </cols>
  <sheetData>
    <row r="1" spans="1:32" x14ac:dyDescent="0.25">
      <c r="A1" s="391" t="s">
        <v>41</v>
      </c>
      <c r="B1" s="392"/>
      <c r="C1" s="392"/>
      <c r="D1" s="392"/>
      <c r="E1" s="392"/>
      <c r="F1" s="392"/>
      <c r="G1" s="392"/>
      <c r="H1" s="392"/>
      <c r="K1" s="192"/>
    </row>
    <row r="2" spans="1:32" x14ac:dyDescent="0.25">
      <c r="A2" s="393" t="s">
        <v>13</v>
      </c>
      <c r="B2" s="393"/>
      <c r="C2" s="393"/>
      <c r="D2" s="393"/>
      <c r="E2" s="393"/>
      <c r="F2" s="393"/>
      <c r="G2" s="393"/>
      <c r="H2" s="393"/>
      <c r="K2" s="192"/>
    </row>
    <row r="3" spans="1:32" x14ac:dyDescent="0.25">
      <c r="A3" s="1"/>
      <c r="B3" s="1"/>
      <c r="C3" s="63"/>
      <c r="D3" s="64"/>
      <c r="E3" s="65"/>
      <c r="F3" s="65"/>
      <c r="G3" s="65"/>
      <c r="H3" s="65"/>
      <c r="K3" s="192"/>
    </row>
    <row r="4" spans="1:32" s="144" customFormat="1" ht="15" customHeight="1" x14ac:dyDescent="0.2">
      <c r="A4" s="107" t="s">
        <v>60</v>
      </c>
      <c r="B4" s="158"/>
      <c r="C4" s="159"/>
      <c r="D4" s="160"/>
      <c r="E4" s="161"/>
      <c r="F4" s="162"/>
      <c r="G4" s="162"/>
      <c r="H4" s="163"/>
      <c r="I4" s="90"/>
      <c r="J4" s="90"/>
      <c r="K4" s="192"/>
      <c r="L4" s="90"/>
      <c r="M4" s="90"/>
      <c r="N4" s="90"/>
      <c r="O4" s="90"/>
      <c r="P4" s="90"/>
      <c r="Q4" s="90"/>
      <c r="R4" s="90"/>
      <c r="S4" s="90"/>
      <c r="T4" s="90"/>
      <c r="U4" s="90"/>
      <c r="V4" s="89"/>
      <c r="W4" s="89"/>
      <c r="X4" s="89"/>
      <c r="Y4" s="89"/>
    </row>
    <row r="5" spans="1:32" s="144" customFormat="1" ht="15" customHeight="1" x14ac:dyDescent="0.2">
      <c r="A5" s="107" t="s">
        <v>59</v>
      </c>
      <c r="B5" s="158"/>
      <c r="C5" s="159"/>
      <c r="D5" s="160"/>
      <c r="E5" s="161"/>
      <c r="F5" s="162"/>
      <c r="G5" s="162"/>
      <c r="H5" s="163"/>
      <c r="I5" s="90"/>
      <c r="J5" s="90"/>
      <c r="K5" s="192"/>
      <c r="L5" s="90"/>
      <c r="M5" s="90"/>
      <c r="N5" s="90"/>
      <c r="O5" s="90"/>
      <c r="P5" s="90"/>
      <c r="Q5" s="90"/>
      <c r="R5" s="90"/>
      <c r="S5" s="90"/>
      <c r="T5" s="90"/>
      <c r="U5" s="90"/>
      <c r="V5" s="89"/>
      <c r="W5" s="89"/>
      <c r="X5" s="89"/>
      <c r="Y5" s="89"/>
    </row>
    <row r="6" spans="1:32" s="144" customFormat="1" ht="15" customHeight="1" x14ac:dyDescent="0.2">
      <c r="A6" s="156" t="s">
        <v>61</v>
      </c>
      <c r="B6" s="158"/>
      <c r="C6" s="159"/>
      <c r="D6" s="160"/>
      <c r="E6" s="161"/>
      <c r="F6" s="162"/>
      <c r="G6" s="162" t="s">
        <v>27</v>
      </c>
      <c r="H6" s="163">
        <f>D41</f>
        <v>0</v>
      </c>
      <c r="I6" s="90"/>
      <c r="J6" s="90"/>
      <c r="K6" s="192"/>
      <c r="L6" s="90"/>
      <c r="M6" s="90"/>
      <c r="N6" s="90"/>
      <c r="O6" s="90"/>
      <c r="P6" s="90"/>
      <c r="Q6" s="90"/>
      <c r="R6" s="90"/>
      <c r="S6" s="90"/>
      <c r="T6" s="90"/>
      <c r="U6" s="90"/>
      <c r="V6" s="89"/>
      <c r="W6" s="89"/>
      <c r="X6" s="89"/>
      <c r="Y6" s="89"/>
    </row>
    <row r="7" spans="1:32" s="144" customFormat="1" ht="15" customHeight="1" x14ac:dyDescent="0.2">
      <c r="A7" s="107" t="s">
        <v>58</v>
      </c>
      <c r="B7" s="158"/>
      <c r="C7" s="159"/>
      <c r="D7" s="160"/>
      <c r="E7" s="161"/>
      <c r="F7" s="162"/>
      <c r="G7" s="162" t="s">
        <v>28</v>
      </c>
      <c r="H7" s="163">
        <f>H37</f>
        <v>0</v>
      </c>
      <c r="I7" s="90"/>
      <c r="J7" s="90"/>
      <c r="K7" s="192"/>
      <c r="L7" s="90"/>
      <c r="M7" s="90"/>
      <c r="N7" s="90"/>
      <c r="O7" s="90"/>
      <c r="P7" s="90"/>
      <c r="Q7" s="90"/>
      <c r="R7" s="90"/>
      <c r="S7" s="90"/>
      <c r="T7" s="90"/>
      <c r="U7" s="90"/>
      <c r="V7" s="89"/>
      <c r="W7" s="89"/>
      <c r="X7" s="89"/>
      <c r="Y7" s="89"/>
    </row>
    <row r="8" spans="1:32" ht="4.9000000000000004" customHeight="1" x14ac:dyDescent="0.25">
      <c r="A8" s="1"/>
      <c r="B8" s="66"/>
      <c r="C8" s="63"/>
      <c r="D8" s="64"/>
      <c r="E8" s="65"/>
      <c r="F8" s="67"/>
      <c r="G8" s="67"/>
      <c r="H8" s="68"/>
    </row>
    <row r="9" spans="1:32" x14ac:dyDescent="0.25">
      <c r="A9" s="1"/>
      <c r="B9" s="66"/>
      <c r="C9" s="63"/>
      <c r="D9" s="64"/>
      <c r="E9" s="65"/>
      <c r="F9" s="67"/>
      <c r="G9" s="67"/>
      <c r="H9" s="164" t="str">
        <f>Koptāme!C8</f>
        <v xml:space="preserve">Tāme sastādīta: </v>
      </c>
      <c r="J9" s="384"/>
      <c r="K9" s="384"/>
      <c r="L9" s="384"/>
    </row>
    <row r="10" spans="1:32" ht="4.9000000000000004" customHeight="1" thickBot="1" x14ac:dyDescent="0.3">
      <c r="A10" s="69"/>
      <c r="B10" s="69"/>
      <c r="C10" s="70"/>
      <c r="D10" s="71"/>
      <c r="E10" s="71"/>
      <c r="F10" s="71"/>
      <c r="G10" s="71"/>
      <c r="H10" s="71"/>
    </row>
    <row r="11" spans="1:32" ht="22.5" customHeight="1" thickBot="1" x14ac:dyDescent="0.3">
      <c r="A11" s="394" t="s">
        <v>20</v>
      </c>
      <c r="B11" s="387" t="s">
        <v>25</v>
      </c>
      <c r="C11" s="396" t="s">
        <v>26</v>
      </c>
      <c r="D11" s="398" t="s">
        <v>29</v>
      </c>
      <c r="E11" s="400" t="s">
        <v>21</v>
      </c>
      <c r="F11" s="401"/>
      <c r="G11" s="402"/>
      <c r="H11" s="385" t="s">
        <v>9</v>
      </c>
      <c r="J11" s="193"/>
      <c r="K11" s="104"/>
      <c r="L11" s="104"/>
    </row>
    <row r="12" spans="1:32" ht="22.5" customHeight="1" thickBot="1" x14ac:dyDescent="0.3">
      <c r="A12" s="395"/>
      <c r="B12" s="388"/>
      <c r="C12" s="397"/>
      <c r="D12" s="399"/>
      <c r="E12" s="72" t="s">
        <v>17</v>
      </c>
      <c r="F12" s="72" t="s">
        <v>16</v>
      </c>
      <c r="G12" s="72" t="s">
        <v>15</v>
      </c>
      <c r="H12" s="386"/>
      <c r="J12" s="193"/>
      <c r="K12" s="104"/>
      <c r="L12" s="104"/>
    </row>
    <row r="13" spans="1:32" ht="22.5" customHeight="1" thickBot="1" x14ac:dyDescent="0.3">
      <c r="A13" s="170" t="s">
        <v>68</v>
      </c>
      <c r="B13" s="171"/>
      <c r="C13" s="172"/>
      <c r="D13" s="173"/>
      <c r="E13" s="173"/>
      <c r="F13" s="173"/>
      <c r="G13" s="173"/>
      <c r="H13" s="174"/>
      <c r="O13" s="175"/>
      <c r="S13" s="89"/>
      <c r="T13" s="89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</row>
    <row r="14" spans="1:32" ht="22.5" customHeight="1" thickBot="1" x14ac:dyDescent="0.3">
      <c r="A14" s="356" t="s">
        <v>34</v>
      </c>
      <c r="B14" s="357" t="s">
        <v>34</v>
      </c>
      <c r="C14" s="358" t="s">
        <v>68</v>
      </c>
      <c r="D14" s="359">
        <f>SUM(E14:G14)</f>
        <v>0</v>
      </c>
      <c r="E14" s="359">
        <f>'1'!M37</f>
        <v>0</v>
      </c>
      <c r="F14" s="359">
        <f>'1'!N37</f>
        <v>0</v>
      </c>
      <c r="G14" s="359">
        <f>'1'!O37</f>
        <v>0</v>
      </c>
      <c r="H14" s="359">
        <f>'1'!L37</f>
        <v>0</v>
      </c>
      <c r="J14" s="351"/>
    </row>
    <row r="15" spans="1:32" ht="22.5" customHeight="1" thickBot="1" x14ac:dyDescent="0.3">
      <c r="A15" s="170" t="s">
        <v>71</v>
      </c>
      <c r="B15" s="171"/>
      <c r="C15" s="172"/>
      <c r="D15" s="173"/>
      <c r="E15" s="173"/>
      <c r="F15" s="173"/>
      <c r="G15" s="173"/>
      <c r="H15" s="174"/>
      <c r="S15" s="89"/>
      <c r="T15" s="89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</row>
    <row r="16" spans="1:32" ht="22.5" customHeight="1" x14ac:dyDescent="0.25">
      <c r="A16" s="347" t="s">
        <v>35</v>
      </c>
      <c r="B16" s="348" t="s">
        <v>35</v>
      </c>
      <c r="C16" s="349" t="s">
        <v>278</v>
      </c>
      <c r="D16" s="350">
        <f>SUM(E16:G16)</f>
        <v>0</v>
      </c>
      <c r="E16" s="350">
        <f>'2'!M26</f>
        <v>0</v>
      </c>
      <c r="F16" s="350">
        <f>'2'!N26</f>
        <v>0</v>
      </c>
      <c r="G16" s="350">
        <f>'2'!O26</f>
        <v>0</v>
      </c>
      <c r="H16" s="350">
        <f>'2'!L26</f>
        <v>0</v>
      </c>
      <c r="J16" s="351"/>
      <c r="K16" s="351"/>
      <c r="L16" s="351"/>
    </row>
    <row r="17" spans="1:32" ht="22.5" customHeight="1" x14ac:dyDescent="0.25">
      <c r="A17" s="347">
        <v>3</v>
      </c>
      <c r="B17" s="348">
        <v>3</v>
      </c>
      <c r="C17" s="349" t="s">
        <v>279</v>
      </c>
      <c r="D17" s="350">
        <f t="shared" ref="D17:D26" si="0">SUM(E17:G17)</f>
        <v>0</v>
      </c>
      <c r="E17" s="350">
        <f>'3'!M168</f>
        <v>0</v>
      </c>
      <c r="F17" s="350">
        <f>'3'!N168</f>
        <v>0</v>
      </c>
      <c r="G17" s="350">
        <f>'3'!O168</f>
        <v>0</v>
      </c>
      <c r="H17" s="350">
        <f>'3'!L168</f>
        <v>0</v>
      </c>
      <c r="J17" s="351"/>
      <c r="K17" s="351"/>
      <c r="L17" s="351"/>
    </row>
    <row r="18" spans="1:32" s="355" customFormat="1" ht="22.5" customHeight="1" x14ac:dyDescent="0.25">
      <c r="A18" s="347">
        <v>4</v>
      </c>
      <c r="B18" s="352">
        <v>4</v>
      </c>
      <c r="C18" s="349" t="s">
        <v>704</v>
      </c>
      <c r="D18" s="350">
        <f>SUM(E18:G18)</f>
        <v>0</v>
      </c>
      <c r="E18" s="350">
        <f>'4'!M85</f>
        <v>0</v>
      </c>
      <c r="F18" s="350">
        <f>'4'!N85</f>
        <v>0</v>
      </c>
      <c r="G18" s="350">
        <f>'4'!O85</f>
        <v>0</v>
      </c>
      <c r="H18" s="350">
        <f>'4'!L85</f>
        <v>0</v>
      </c>
      <c r="I18" s="212"/>
      <c r="J18" s="353"/>
      <c r="K18" s="353"/>
      <c r="L18" s="353"/>
      <c r="M18" s="90"/>
      <c r="N18" s="90"/>
      <c r="O18" s="90"/>
      <c r="P18" s="212"/>
      <c r="Q18" s="212"/>
      <c r="R18" s="212"/>
      <c r="S18" s="212"/>
      <c r="T18" s="212"/>
      <c r="U18" s="212"/>
      <c r="V18" s="354"/>
      <c r="W18" s="354"/>
      <c r="X18" s="354"/>
      <c r="Y18" s="354"/>
    </row>
    <row r="19" spans="1:32" ht="22.5" customHeight="1" x14ac:dyDescent="0.25">
      <c r="A19" s="347">
        <v>5</v>
      </c>
      <c r="B19" s="348">
        <v>5</v>
      </c>
      <c r="C19" s="349" t="s">
        <v>280</v>
      </c>
      <c r="D19" s="350">
        <f t="shared" si="0"/>
        <v>0</v>
      </c>
      <c r="E19" s="350">
        <f>'5'!M27</f>
        <v>0</v>
      </c>
      <c r="F19" s="350">
        <f>'5'!N27</f>
        <v>0</v>
      </c>
      <c r="G19" s="350">
        <f>'5'!O27</f>
        <v>0</v>
      </c>
      <c r="H19" s="350">
        <f>'5'!L27</f>
        <v>0</v>
      </c>
      <c r="J19" s="351"/>
      <c r="K19" s="351"/>
      <c r="L19" s="351"/>
    </row>
    <row r="20" spans="1:32" ht="22.5" customHeight="1" x14ac:dyDescent="0.25">
      <c r="A20" s="347">
        <v>6</v>
      </c>
      <c r="B20" s="348">
        <v>6</v>
      </c>
      <c r="C20" s="349" t="s">
        <v>339</v>
      </c>
      <c r="D20" s="350">
        <f t="shared" si="0"/>
        <v>0</v>
      </c>
      <c r="E20" s="350">
        <f>'6'!M59</f>
        <v>0</v>
      </c>
      <c r="F20" s="350">
        <f>'6'!N59</f>
        <v>0</v>
      </c>
      <c r="G20" s="350">
        <f>'6'!O59</f>
        <v>0</v>
      </c>
      <c r="H20" s="350">
        <f>'6'!L59</f>
        <v>0</v>
      </c>
      <c r="J20" s="351"/>
      <c r="K20" s="351"/>
      <c r="L20" s="351"/>
    </row>
    <row r="21" spans="1:32" ht="22.5" customHeight="1" x14ac:dyDescent="0.25">
      <c r="A21" s="347">
        <v>7</v>
      </c>
      <c r="B21" s="348">
        <v>7</v>
      </c>
      <c r="C21" s="349" t="s">
        <v>369</v>
      </c>
      <c r="D21" s="350">
        <f t="shared" si="0"/>
        <v>0</v>
      </c>
      <c r="E21" s="350">
        <f>'7'!M83</f>
        <v>0</v>
      </c>
      <c r="F21" s="350">
        <f>'7'!N83</f>
        <v>0</v>
      </c>
      <c r="G21" s="350">
        <f>'7'!O83</f>
        <v>0</v>
      </c>
      <c r="H21" s="350">
        <f>'7'!L83</f>
        <v>0</v>
      </c>
      <c r="J21" s="351"/>
      <c r="K21" s="351"/>
      <c r="L21" s="351"/>
    </row>
    <row r="22" spans="1:32" ht="22.5" customHeight="1" x14ac:dyDescent="0.25">
      <c r="A22" s="347">
        <v>8</v>
      </c>
      <c r="B22" s="348">
        <v>8</v>
      </c>
      <c r="C22" s="349" t="s">
        <v>405</v>
      </c>
      <c r="D22" s="350">
        <f t="shared" si="0"/>
        <v>0</v>
      </c>
      <c r="E22" s="350">
        <f>'8'!M41</f>
        <v>0</v>
      </c>
      <c r="F22" s="350">
        <f>'8'!N41</f>
        <v>0</v>
      </c>
      <c r="G22" s="350">
        <f>'8'!O41</f>
        <v>0</v>
      </c>
      <c r="H22" s="350">
        <f>'8'!L41</f>
        <v>0</v>
      </c>
      <c r="J22" s="351"/>
      <c r="K22" s="351"/>
      <c r="L22" s="351"/>
    </row>
    <row r="23" spans="1:32" ht="22.5" customHeight="1" x14ac:dyDescent="0.25">
      <c r="A23" s="347">
        <v>9</v>
      </c>
      <c r="B23" s="348">
        <v>9</v>
      </c>
      <c r="C23" s="349" t="s">
        <v>322</v>
      </c>
      <c r="D23" s="350">
        <f t="shared" si="0"/>
        <v>0</v>
      </c>
      <c r="E23" s="350">
        <f>'9'!M87</f>
        <v>0</v>
      </c>
      <c r="F23" s="350">
        <f>'9'!N87</f>
        <v>0</v>
      </c>
      <c r="G23" s="350">
        <f>'9'!O87</f>
        <v>0</v>
      </c>
      <c r="H23" s="350">
        <f>'9'!L87</f>
        <v>0</v>
      </c>
      <c r="J23" s="351"/>
      <c r="K23" s="351"/>
      <c r="L23" s="351"/>
    </row>
    <row r="24" spans="1:32" ht="22.5" customHeight="1" x14ac:dyDescent="0.25">
      <c r="A24" s="347">
        <v>10</v>
      </c>
      <c r="B24" s="348">
        <v>10</v>
      </c>
      <c r="C24" s="349" t="s">
        <v>281</v>
      </c>
      <c r="D24" s="350">
        <f t="shared" si="0"/>
        <v>0</v>
      </c>
      <c r="E24" s="350">
        <f>'10'!M34</f>
        <v>0</v>
      </c>
      <c r="F24" s="350">
        <f>'10'!N34</f>
        <v>0</v>
      </c>
      <c r="G24" s="350">
        <f>'10'!O34</f>
        <v>0</v>
      </c>
      <c r="H24" s="350">
        <f>'10'!L34</f>
        <v>0</v>
      </c>
      <c r="J24" s="351"/>
      <c r="K24" s="351"/>
      <c r="L24" s="351"/>
    </row>
    <row r="25" spans="1:32" ht="22.5" customHeight="1" x14ac:dyDescent="0.25">
      <c r="A25" s="347">
        <v>11</v>
      </c>
      <c r="B25" s="348">
        <v>11</v>
      </c>
      <c r="C25" s="349" t="s">
        <v>282</v>
      </c>
      <c r="D25" s="350">
        <f t="shared" si="0"/>
        <v>0</v>
      </c>
      <c r="E25" s="350">
        <f>'11'!M61</f>
        <v>0</v>
      </c>
      <c r="F25" s="350">
        <f>'11'!N61</f>
        <v>0</v>
      </c>
      <c r="G25" s="350">
        <f>'11'!O61</f>
        <v>0</v>
      </c>
      <c r="H25" s="350">
        <f>'11'!L61</f>
        <v>0</v>
      </c>
      <c r="J25" s="351"/>
      <c r="K25" s="351"/>
      <c r="L25" s="351"/>
    </row>
    <row r="26" spans="1:32" ht="22.5" customHeight="1" x14ac:dyDescent="0.25">
      <c r="A26" s="347">
        <v>12</v>
      </c>
      <c r="B26" s="348">
        <v>12</v>
      </c>
      <c r="C26" s="349" t="s">
        <v>283</v>
      </c>
      <c r="D26" s="350">
        <f t="shared" si="0"/>
        <v>0</v>
      </c>
      <c r="E26" s="350">
        <f>'12'!M59</f>
        <v>0</v>
      </c>
      <c r="F26" s="350">
        <f>'12'!N59</f>
        <v>0</v>
      </c>
      <c r="G26" s="350">
        <f>'12'!O59</f>
        <v>0</v>
      </c>
      <c r="H26" s="350">
        <f>'12'!L59</f>
        <v>0</v>
      </c>
      <c r="J26" s="351"/>
      <c r="K26" s="351"/>
      <c r="L26" s="351"/>
    </row>
    <row r="27" spans="1:32" ht="22.5" customHeight="1" thickBot="1" x14ac:dyDescent="0.3">
      <c r="A27" s="347">
        <v>13</v>
      </c>
      <c r="B27" s="348">
        <v>13</v>
      </c>
      <c r="C27" s="349" t="s">
        <v>52</v>
      </c>
      <c r="D27" s="350">
        <f>SUM(E27:G27)</f>
        <v>0</v>
      </c>
      <c r="E27" s="350">
        <f>'13'!M57</f>
        <v>0</v>
      </c>
      <c r="F27" s="350">
        <f>'13'!N57</f>
        <v>0</v>
      </c>
      <c r="G27" s="350">
        <f>'13'!O57</f>
        <v>0</v>
      </c>
      <c r="H27" s="350">
        <f>'13'!L57</f>
        <v>0</v>
      </c>
      <c r="J27" s="351"/>
      <c r="K27" s="351"/>
      <c r="L27" s="351"/>
    </row>
    <row r="28" spans="1:32" ht="22.5" customHeight="1" thickBot="1" x14ac:dyDescent="0.3">
      <c r="A28" s="170" t="s">
        <v>70</v>
      </c>
      <c r="B28" s="171"/>
      <c r="C28" s="172"/>
      <c r="D28" s="173"/>
      <c r="E28" s="173"/>
      <c r="F28" s="173"/>
      <c r="G28" s="173"/>
      <c r="H28" s="174"/>
      <c r="S28" s="89"/>
      <c r="T28" s="89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</row>
    <row r="29" spans="1:32" ht="22.5" customHeight="1" x14ac:dyDescent="0.25">
      <c r="A29" s="347">
        <v>14</v>
      </c>
      <c r="B29" s="348">
        <v>14</v>
      </c>
      <c r="C29" s="349" t="s">
        <v>72</v>
      </c>
      <c r="D29" s="350">
        <f>SUM(E29:G29)</f>
        <v>0</v>
      </c>
      <c r="E29" s="350">
        <f>'14'!N94</f>
        <v>0</v>
      </c>
      <c r="F29" s="350">
        <f>'14'!O94</f>
        <v>0</v>
      </c>
      <c r="G29" s="350">
        <f>'14'!P94</f>
        <v>0</v>
      </c>
      <c r="H29" s="350">
        <f>'14'!M94</f>
        <v>0</v>
      </c>
      <c r="J29" s="351"/>
      <c r="K29" s="351"/>
      <c r="L29" s="351"/>
    </row>
    <row r="30" spans="1:32" ht="22.5" customHeight="1" thickBot="1" x14ac:dyDescent="0.3">
      <c r="A30" s="347">
        <v>15</v>
      </c>
      <c r="B30" s="348">
        <v>15</v>
      </c>
      <c r="C30" s="349" t="s">
        <v>150</v>
      </c>
      <c r="D30" s="350">
        <f>SUM(E30:G30)</f>
        <v>0</v>
      </c>
      <c r="E30" s="350">
        <f>'15'!N92</f>
        <v>0</v>
      </c>
      <c r="F30" s="350">
        <f>'15'!O92</f>
        <v>0</v>
      </c>
      <c r="G30" s="350">
        <f>'15'!P92</f>
        <v>0</v>
      </c>
      <c r="H30" s="350">
        <f>'15'!M92</f>
        <v>0</v>
      </c>
      <c r="J30" s="351"/>
      <c r="K30" s="351"/>
      <c r="L30" s="351"/>
    </row>
    <row r="31" spans="1:32" ht="22.5" customHeight="1" thickBot="1" x14ac:dyDescent="0.3">
      <c r="A31" s="170" t="s">
        <v>148</v>
      </c>
      <c r="B31" s="190"/>
      <c r="C31" s="172"/>
      <c r="D31" s="173"/>
      <c r="E31" s="173"/>
      <c r="F31" s="173"/>
      <c r="G31" s="173"/>
      <c r="H31" s="174"/>
      <c r="S31" s="89"/>
      <c r="T31" s="89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</row>
    <row r="32" spans="1:32" ht="22.5" customHeight="1" x14ac:dyDescent="0.25">
      <c r="A32" s="356">
        <v>16</v>
      </c>
      <c r="B32" s="374">
        <v>16</v>
      </c>
      <c r="C32" s="358" t="s">
        <v>149</v>
      </c>
      <c r="D32" s="359">
        <f>SUM(E32:G32)</f>
        <v>0</v>
      </c>
      <c r="E32" s="375">
        <f>'16'!N37</f>
        <v>0</v>
      </c>
      <c r="F32" s="359">
        <f>'16'!O37</f>
        <v>0</v>
      </c>
      <c r="G32" s="375">
        <f>'16'!P37</f>
        <v>0</v>
      </c>
      <c r="H32" s="359">
        <f>'16'!M37</f>
        <v>0</v>
      </c>
      <c r="J32" s="351"/>
      <c r="K32" s="351"/>
      <c r="L32" s="351"/>
    </row>
    <row r="33" spans="1:32" ht="22.5" customHeight="1" x14ac:dyDescent="0.25">
      <c r="A33" s="347">
        <v>17</v>
      </c>
      <c r="B33" s="348">
        <v>17</v>
      </c>
      <c r="C33" s="349" t="s">
        <v>220</v>
      </c>
      <c r="D33" s="350">
        <f>SUM(E33:G33)</f>
        <v>0</v>
      </c>
      <c r="E33" s="373">
        <f>'17'!N36</f>
        <v>0</v>
      </c>
      <c r="F33" s="350">
        <f>'17'!O36</f>
        <v>0</v>
      </c>
      <c r="G33" s="373">
        <f>'17'!P36</f>
        <v>0</v>
      </c>
      <c r="H33" s="350">
        <f>'17'!M36</f>
        <v>0</v>
      </c>
      <c r="J33" s="351"/>
      <c r="K33" s="351"/>
      <c r="L33" s="351"/>
    </row>
    <row r="34" spans="1:32" ht="22.5" customHeight="1" thickBot="1" x14ac:dyDescent="0.3">
      <c r="A34" s="376">
        <v>18</v>
      </c>
      <c r="B34" s="377">
        <v>18</v>
      </c>
      <c r="C34" s="379" t="s">
        <v>717</v>
      </c>
      <c r="D34" s="372">
        <f>'18 '!P9</f>
        <v>0</v>
      </c>
      <c r="E34" s="378">
        <f>'18 '!M27</f>
        <v>0</v>
      </c>
      <c r="F34" s="372">
        <f>'18 '!N27</f>
        <v>0</v>
      </c>
      <c r="G34" s="378">
        <f>'18 '!O27</f>
        <v>0</v>
      </c>
      <c r="H34" s="372">
        <f>'18 '!L27</f>
        <v>0</v>
      </c>
      <c r="J34" s="351"/>
      <c r="K34" s="351"/>
      <c r="L34" s="351"/>
    </row>
    <row r="35" spans="1:32" ht="22.5" customHeight="1" thickBot="1" x14ac:dyDescent="0.3">
      <c r="A35" s="367" t="s">
        <v>69</v>
      </c>
      <c r="B35" s="368"/>
      <c r="C35" s="369"/>
      <c r="D35" s="370"/>
      <c r="E35" s="370"/>
      <c r="F35" s="370"/>
      <c r="G35" s="370"/>
      <c r="H35" s="371"/>
      <c r="S35" s="89"/>
      <c r="T35" s="89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</row>
    <row r="36" spans="1:32" ht="22.5" customHeight="1" thickBot="1" x14ac:dyDescent="0.3">
      <c r="A36" s="347">
        <v>19</v>
      </c>
      <c r="B36" s="348">
        <v>19</v>
      </c>
      <c r="C36" s="349" t="s">
        <v>69</v>
      </c>
      <c r="D36" s="350">
        <f>SUM(E36:G36)</f>
        <v>0</v>
      </c>
      <c r="E36" s="350">
        <f>'19'!M60</f>
        <v>0</v>
      </c>
      <c r="F36" s="350">
        <f>'19'!N60</f>
        <v>0</v>
      </c>
      <c r="G36" s="350">
        <f>'19'!O60</f>
        <v>0</v>
      </c>
      <c r="H36" s="350">
        <f>'19'!L60</f>
        <v>0</v>
      </c>
      <c r="J36" s="351"/>
      <c r="K36" s="351"/>
      <c r="L36" s="351"/>
    </row>
    <row r="37" spans="1:32" ht="22.5" customHeight="1" thickBot="1" x14ac:dyDescent="0.3">
      <c r="A37" s="88"/>
      <c r="B37" s="91"/>
      <c r="C37" s="73" t="s">
        <v>23</v>
      </c>
      <c r="D37" s="96">
        <f>ROUND(SUM(D14:D36),2)</f>
        <v>0</v>
      </c>
      <c r="E37" s="96">
        <f>ROUND(SUM(E14:E36),2)</f>
        <v>0</v>
      </c>
      <c r="F37" s="96">
        <f>ROUND(SUM(F14:F36),2)</f>
        <v>0</v>
      </c>
      <c r="G37" s="96">
        <f>ROUND(SUM(G14:G36),2)</f>
        <v>0</v>
      </c>
      <c r="H37" s="96">
        <f>ROUND(SUM(H14:H36),2)</f>
        <v>0</v>
      </c>
      <c r="J37" s="136"/>
      <c r="K37" s="136"/>
      <c r="L37" s="136"/>
      <c r="M37" s="136"/>
    </row>
    <row r="38" spans="1:32" ht="22.5" customHeight="1" x14ac:dyDescent="0.25">
      <c r="A38" s="74"/>
      <c r="B38" s="92"/>
      <c r="C38" s="75" t="str">
        <f>+"Virsizdevumi "&amp;I38&amp;"%:"</f>
        <v>Virsizdevumi 3%:</v>
      </c>
      <c r="D38" s="76">
        <f>+ROUND(D37*I38%,2)</f>
        <v>0</v>
      </c>
      <c r="E38" s="197"/>
      <c r="F38" s="197"/>
      <c r="G38" s="197"/>
      <c r="H38" s="77"/>
      <c r="I38" s="104">
        <v>3</v>
      </c>
      <c r="K38" s="137"/>
      <c r="L38" s="137"/>
    </row>
    <row r="39" spans="1:32" ht="22.5" customHeight="1" x14ac:dyDescent="0.25">
      <c r="A39" s="78"/>
      <c r="B39" s="93"/>
      <c r="C39" s="79" t="s">
        <v>22</v>
      </c>
      <c r="D39" s="80">
        <f>+ROUND(D38*I39%,2)</f>
        <v>0</v>
      </c>
      <c r="E39" s="81"/>
      <c r="F39" s="81"/>
      <c r="G39" s="81"/>
      <c r="H39" s="81"/>
      <c r="I39" s="105">
        <v>5</v>
      </c>
    </row>
    <row r="40" spans="1:32" ht="22.5" customHeight="1" thickBot="1" x14ac:dyDescent="0.3">
      <c r="A40" s="82"/>
      <c r="B40" s="94"/>
      <c r="C40" s="83" t="str">
        <f>+"Peļņa "&amp;I40&amp;"%:"</f>
        <v>Peļņa 5%:</v>
      </c>
      <c r="D40" s="84">
        <f>+ROUND(D37*I40%,2)</f>
        <v>0</v>
      </c>
      <c r="E40" s="77"/>
      <c r="F40" s="77"/>
      <c r="G40" s="77"/>
      <c r="H40" s="77"/>
      <c r="I40" s="104">
        <v>5</v>
      </c>
    </row>
    <row r="41" spans="1:32" ht="22.5" customHeight="1" thickBot="1" x14ac:dyDescent="0.3">
      <c r="A41" s="85"/>
      <c r="B41" s="95"/>
      <c r="C41" s="73" t="s">
        <v>24</v>
      </c>
      <c r="D41" s="86">
        <f>ROUND(SUM(D37,D38,D40),2)</f>
        <v>0</v>
      </c>
      <c r="E41" s="87"/>
      <c r="F41" s="87"/>
      <c r="G41" s="87"/>
      <c r="H41" s="87"/>
    </row>
    <row r="42" spans="1:32" s="89" customFormat="1" ht="49.9" customHeight="1" x14ac:dyDescent="0.25">
      <c r="E42" s="87"/>
      <c r="F42" s="87"/>
      <c r="G42" s="87"/>
      <c r="H42" s="87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</row>
    <row r="43" spans="1:32" s="101" customFormat="1" ht="11.25" x14ac:dyDescent="0.25">
      <c r="A43" s="99" t="s">
        <v>10</v>
      </c>
      <c r="B43" s="113"/>
      <c r="C43" s="112">
        <f>Koptāme!B18</f>
        <v>0</v>
      </c>
      <c r="D43" s="116" t="str">
        <f>Koptāme!C18</f>
        <v>datums</v>
      </c>
      <c r="E43" s="100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</row>
    <row r="44" spans="1:32" s="89" customFormat="1" ht="11.25" x14ac:dyDescent="0.25">
      <c r="B44" s="389" t="s">
        <v>12</v>
      </c>
      <c r="C44" s="389"/>
      <c r="D44" s="115"/>
      <c r="E44" s="87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</row>
    <row r="45" spans="1:32" s="89" customFormat="1" ht="4.9000000000000004" customHeight="1" x14ac:dyDescent="0.25">
      <c r="B45" s="114"/>
      <c r="C45" s="114"/>
      <c r="D45" s="115"/>
      <c r="E45" s="87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</row>
    <row r="46" spans="1:32" s="101" customFormat="1" ht="11.25" x14ac:dyDescent="0.25">
      <c r="B46" s="103" t="str">
        <f>Koptāme!B21</f>
        <v>-</v>
      </c>
      <c r="C46" s="115"/>
      <c r="D46" s="115"/>
      <c r="E46" s="100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</row>
    <row r="47" spans="1:32" s="89" customFormat="1" ht="19.899999999999999" customHeight="1" x14ac:dyDescent="0.25">
      <c r="B47" s="115"/>
      <c r="C47" s="115"/>
      <c r="D47" s="115"/>
      <c r="E47" s="87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</row>
    <row r="48" spans="1:32" s="101" customFormat="1" ht="11.25" x14ac:dyDescent="0.25">
      <c r="A48" s="99" t="s">
        <v>11</v>
      </c>
      <c r="B48" s="113"/>
      <c r="C48" s="112">
        <f>Koptāme!B23</f>
        <v>0</v>
      </c>
      <c r="D48" s="116" t="str">
        <f>Koptāme!C23</f>
        <v>datums</v>
      </c>
      <c r="E48" s="100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</row>
    <row r="49" spans="2:21" s="89" customFormat="1" ht="11.25" x14ac:dyDescent="0.25">
      <c r="B49" s="390" t="s">
        <v>12</v>
      </c>
      <c r="C49" s="390"/>
      <c r="E49" s="87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</row>
    <row r="50" spans="2:21" s="89" customFormat="1" ht="4.9000000000000004" customHeight="1" x14ac:dyDescent="0.25">
      <c r="B50" s="98"/>
      <c r="C50" s="98"/>
      <c r="E50" s="87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</row>
    <row r="51" spans="2:21" s="101" customFormat="1" ht="11.25" x14ac:dyDescent="0.25">
      <c r="B51" s="103" t="str">
        <f>Koptāme!B26</f>
        <v>Sert.Nr.</v>
      </c>
      <c r="E51" s="100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</row>
    <row r="52" spans="2:21" s="89" customFormat="1" ht="11.25" x14ac:dyDescent="0.25">
      <c r="E52" s="87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</row>
    <row r="53" spans="2:21" s="89" customFormat="1" ht="11.25" x14ac:dyDescent="0.25">
      <c r="E53" s="87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</row>
    <row r="54" spans="2:21" s="89" customFormat="1" ht="11.25" x14ac:dyDescent="0.25"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</row>
    <row r="55" spans="2:21" s="89" customFormat="1" ht="11.25" x14ac:dyDescent="0.25"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</row>
    <row r="56" spans="2:21" s="89" customFormat="1" ht="11.25" x14ac:dyDescent="0.25"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</row>
    <row r="57" spans="2:21" s="89" customFormat="1" ht="11.25" x14ac:dyDescent="0.25"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</row>
    <row r="58" spans="2:21" s="89" customFormat="1" ht="11.25" x14ac:dyDescent="0.25"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</row>
    <row r="59" spans="2:21" s="89" customFormat="1" ht="11.25" x14ac:dyDescent="0.25"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</row>
    <row r="60" spans="2:21" s="89" customFormat="1" ht="11.25" x14ac:dyDescent="0.25"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</row>
    <row r="61" spans="2:21" s="89" customFormat="1" ht="11.25" x14ac:dyDescent="0.25"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</row>
    <row r="62" spans="2:21" s="89" customFormat="1" ht="11.25" x14ac:dyDescent="0.25"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</row>
    <row r="63" spans="2:21" s="89" customFormat="1" ht="11.25" x14ac:dyDescent="0.25"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</row>
    <row r="64" spans="2:21" s="89" customFormat="1" ht="11.25" x14ac:dyDescent="0.25"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</row>
    <row r="65" spans="9:21" s="89" customFormat="1" ht="11.25" x14ac:dyDescent="0.25"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</row>
    <row r="66" spans="9:21" s="89" customFormat="1" ht="11.25" x14ac:dyDescent="0.25"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</row>
    <row r="67" spans="9:21" s="89" customFormat="1" ht="11.25" x14ac:dyDescent="0.25"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</row>
    <row r="68" spans="9:21" s="89" customFormat="1" ht="11.25" x14ac:dyDescent="0.25"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</row>
    <row r="69" spans="9:21" s="89" customFormat="1" ht="11.25" x14ac:dyDescent="0.25"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</row>
    <row r="70" spans="9:21" s="89" customFormat="1" ht="11.25" x14ac:dyDescent="0.25"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</row>
    <row r="71" spans="9:21" s="89" customFormat="1" ht="11.25" x14ac:dyDescent="0.25"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</row>
    <row r="72" spans="9:21" s="89" customFormat="1" ht="11.25" x14ac:dyDescent="0.25"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</row>
    <row r="73" spans="9:21" s="89" customFormat="1" ht="11.25" x14ac:dyDescent="0.25"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</row>
    <row r="74" spans="9:21" s="89" customFormat="1" ht="11.25" x14ac:dyDescent="0.25"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</row>
    <row r="75" spans="9:21" s="89" customFormat="1" ht="11.25" x14ac:dyDescent="0.25"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</row>
    <row r="76" spans="9:21" s="89" customFormat="1" ht="11.25" x14ac:dyDescent="0.25"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</row>
    <row r="77" spans="9:21" s="89" customFormat="1" ht="11.25" x14ac:dyDescent="0.25"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</row>
    <row r="78" spans="9:21" s="89" customFormat="1" ht="11.25" x14ac:dyDescent="0.25"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</row>
    <row r="79" spans="9:21" s="89" customFormat="1" ht="11.25" x14ac:dyDescent="0.25"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</row>
    <row r="80" spans="9:21" s="89" customFormat="1" ht="11.25" x14ac:dyDescent="0.25"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</row>
    <row r="81" spans="9:21" s="89" customFormat="1" ht="11.25" x14ac:dyDescent="0.25"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</row>
    <row r="82" spans="9:21" s="89" customFormat="1" ht="11.25" x14ac:dyDescent="0.25"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</row>
    <row r="83" spans="9:21" s="89" customFormat="1" ht="11.25" x14ac:dyDescent="0.25"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</row>
    <row r="84" spans="9:21" s="89" customFormat="1" ht="11.25" x14ac:dyDescent="0.25"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</row>
    <row r="85" spans="9:21" s="89" customFormat="1" ht="11.25" x14ac:dyDescent="0.25"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</row>
    <row r="86" spans="9:21" s="89" customFormat="1" ht="11.25" x14ac:dyDescent="0.25"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</row>
    <row r="87" spans="9:21" s="89" customFormat="1" ht="11.25" x14ac:dyDescent="0.25"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</row>
    <row r="88" spans="9:21" s="89" customFormat="1" ht="11.25" x14ac:dyDescent="0.25"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</row>
    <row r="89" spans="9:21" s="89" customFormat="1" ht="11.25" x14ac:dyDescent="0.25"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</row>
    <row r="90" spans="9:21" s="89" customFormat="1" ht="11.25" x14ac:dyDescent="0.25"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</row>
    <row r="91" spans="9:21" s="89" customFormat="1" ht="11.25" x14ac:dyDescent="0.25"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</row>
    <row r="92" spans="9:21" s="89" customFormat="1" ht="11.25" x14ac:dyDescent="0.25"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</row>
    <row r="93" spans="9:21" s="89" customFormat="1" ht="11.25" x14ac:dyDescent="0.25"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</row>
    <row r="94" spans="9:21" s="89" customFormat="1" ht="11.25" x14ac:dyDescent="0.25"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</row>
    <row r="95" spans="9:21" s="89" customFormat="1" ht="11.25" x14ac:dyDescent="0.25"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</row>
    <row r="96" spans="9:21" s="89" customFormat="1" ht="11.25" x14ac:dyDescent="0.25"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</row>
    <row r="97" spans="9:21" s="89" customFormat="1" ht="11.25" x14ac:dyDescent="0.25"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</row>
    <row r="98" spans="9:21" s="89" customFormat="1" ht="11.25" x14ac:dyDescent="0.25"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</row>
    <row r="99" spans="9:21" s="89" customFormat="1" ht="11.25" x14ac:dyDescent="0.25"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</row>
    <row r="100" spans="9:21" s="89" customFormat="1" ht="11.25" x14ac:dyDescent="0.25"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</row>
    <row r="101" spans="9:21" s="89" customFormat="1" ht="11.25" x14ac:dyDescent="0.25"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</row>
    <row r="102" spans="9:21" s="89" customFormat="1" ht="11.25" x14ac:dyDescent="0.25"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</row>
    <row r="103" spans="9:21" s="89" customFormat="1" ht="11.25" x14ac:dyDescent="0.25"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</row>
    <row r="104" spans="9:21" s="89" customFormat="1" ht="11.25" x14ac:dyDescent="0.25"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</row>
    <row r="105" spans="9:21" s="89" customFormat="1" ht="11.25" x14ac:dyDescent="0.25"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</row>
    <row r="106" spans="9:21" s="89" customFormat="1" ht="11.25" x14ac:dyDescent="0.25"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</row>
    <row r="107" spans="9:21" s="89" customFormat="1" ht="11.25" x14ac:dyDescent="0.25"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</row>
    <row r="108" spans="9:21" s="89" customFormat="1" ht="11.25" x14ac:dyDescent="0.25"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</row>
    <row r="109" spans="9:21" s="89" customFormat="1" ht="11.25" x14ac:dyDescent="0.25"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</row>
    <row r="110" spans="9:21" s="89" customFormat="1" ht="11.25" x14ac:dyDescent="0.25"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</row>
    <row r="111" spans="9:21" s="89" customFormat="1" ht="11.25" x14ac:dyDescent="0.25"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</row>
    <row r="112" spans="9:21" s="89" customFormat="1" ht="11.25" x14ac:dyDescent="0.25"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</row>
    <row r="113" spans="9:21" s="89" customFormat="1" ht="11.25" x14ac:dyDescent="0.25"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</row>
    <row r="114" spans="9:21" s="89" customFormat="1" ht="11.25" x14ac:dyDescent="0.25"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</row>
    <row r="115" spans="9:21" s="89" customFormat="1" ht="11.25" x14ac:dyDescent="0.25"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</row>
    <row r="116" spans="9:21" s="89" customFormat="1" ht="11.25" x14ac:dyDescent="0.25"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</row>
    <row r="117" spans="9:21" s="89" customFormat="1" ht="11.25" x14ac:dyDescent="0.25"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</row>
    <row r="118" spans="9:21" s="89" customFormat="1" ht="11.25" x14ac:dyDescent="0.25"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</row>
    <row r="119" spans="9:21" s="89" customFormat="1" ht="11.25" x14ac:dyDescent="0.25"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</row>
    <row r="120" spans="9:21" s="89" customFormat="1" ht="11.25" x14ac:dyDescent="0.25"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</row>
    <row r="121" spans="9:21" s="89" customFormat="1" ht="11.25" x14ac:dyDescent="0.25"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</row>
    <row r="122" spans="9:21" s="89" customFormat="1" ht="11.25" x14ac:dyDescent="0.25"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</row>
    <row r="123" spans="9:21" s="89" customFormat="1" ht="11.25" x14ac:dyDescent="0.25"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</row>
    <row r="124" spans="9:21" s="89" customFormat="1" ht="11.25" x14ac:dyDescent="0.25"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</row>
    <row r="125" spans="9:21" s="89" customFormat="1" ht="11.25" x14ac:dyDescent="0.25"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</row>
    <row r="126" spans="9:21" s="89" customFormat="1" ht="11.25" x14ac:dyDescent="0.25"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</row>
    <row r="127" spans="9:21" s="89" customFormat="1" ht="11.25" x14ac:dyDescent="0.25"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</row>
    <row r="128" spans="9:21" s="89" customFormat="1" ht="11.25" x14ac:dyDescent="0.25"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</row>
    <row r="129" spans="9:21" s="89" customFormat="1" ht="11.25" x14ac:dyDescent="0.25"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</row>
    <row r="130" spans="9:21" s="89" customFormat="1" ht="11.25" x14ac:dyDescent="0.25"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</row>
    <row r="131" spans="9:21" s="89" customFormat="1" ht="11.25" x14ac:dyDescent="0.25"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</row>
    <row r="132" spans="9:21" s="89" customFormat="1" ht="11.25" x14ac:dyDescent="0.25"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</row>
    <row r="133" spans="9:21" s="89" customFormat="1" ht="11.25" x14ac:dyDescent="0.25"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</row>
    <row r="134" spans="9:21" s="89" customFormat="1" ht="11.25" x14ac:dyDescent="0.25"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</row>
    <row r="135" spans="9:21" s="89" customFormat="1" ht="11.25" x14ac:dyDescent="0.25"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</row>
    <row r="136" spans="9:21" s="89" customFormat="1" ht="11.25" x14ac:dyDescent="0.25"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</row>
    <row r="137" spans="9:21" s="89" customFormat="1" ht="11.25" x14ac:dyDescent="0.25"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</row>
    <row r="138" spans="9:21" s="89" customFormat="1" ht="11.25" x14ac:dyDescent="0.25"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</row>
    <row r="139" spans="9:21" s="89" customFormat="1" ht="11.25" x14ac:dyDescent="0.25"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</row>
    <row r="140" spans="9:21" s="89" customFormat="1" ht="11.25" x14ac:dyDescent="0.25"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</row>
    <row r="141" spans="9:21" s="89" customFormat="1" ht="11.25" x14ac:dyDescent="0.25"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</row>
    <row r="142" spans="9:21" s="89" customFormat="1" ht="11.25" x14ac:dyDescent="0.25"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</row>
    <row r="143" spans="9:21" s="89" customFormat="1" ht="11.25" x14ac:dyDescent="0.25"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</row>
    <row r="144" spans="9:21" s="89" customFormat="1" ht="11.25" x14ac:dyDescent="0.25"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</row>
    <row r="145" spans="9:21" s="89" customFormat="1" ht="11.25" x14ac:dyDescent="0.25"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</row>
    <row r="146" spans="9:21" s="89" customFormat="1" ht="11.25" x14ac:dyDescent="0.25"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</row>
    <row r="147" spans="9:21" s="89" customFormat="1" ht="11.25" x14ac:dyDescent="0.25"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</row>
    <row r="148" spans="9:21" s="89" customFormat="1" ht="11.25" x14ac:dyDescent="0.25"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</row>
    <row r="149" spans="9:21" s="89" customFormat="1" ht="11.25" x14ac:dyDescent="0.25"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</row>
    <row r="150" spans="9:21" s="89" customFormat="1" ht="11.25" x14ac:dyDescent="0.25"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</row>
    <row r="151" spans="9:21" s="89" customFormat="1" ht="11.25" x14ac:dyDescent="0.25"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</row>
    <row r="152" spans="9:21" s="89" customFormat="1" ht="11.25" x14ac:dyDescent="0.25"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</row>
    <row r="153" spans="9:21" s="89" customFormat="1" ht="11.25" x14ac:dyDescent="0.25"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</row>
    <row r="154" spans="9:21" s="89" customFormat="1" ht="11.25" x14ac:dyDescent="0.25"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</row>
    <row r="155" spans="9:21" s="89" customFormat="1" ht="11.25" x14ac:dyDescent="0.25"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</row>
    <row r="156" spans="9:21" s="89" customFormat="1" ht="11.25" x14ac:dyDescent="0.25"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</row>
    <row r="157" spans="9:21" s="89" customFormat="1" ht="11.25" x14ac:dyDescent="0.25"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</row>
    <row r="158" spans="9:21" s="89" customFormat="1" ht="11.25" x14ac:dyDescent="0.25"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</row>
    <row r="159" spans="9:21" s="89" customFormat="1" ht="11.25" x14ac:dyDescent="0.25"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</row>
    <row r="160" spans="9:21" s="89" customFormat="1" ht="11.25" x14ac:dyDescent="0.25"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</row>
    <row r="161" spans="9:21" s="89" customFormat="1" ht="11.25" x14ac:dyDescent="0.25"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</row>
    <row r="162" spans="9:21" s="89" customFormat="1" ht="11.25" x14ac:dyDescent="0.25"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</row>
    <row r="163" spans="9:21" s="89" customFormat="1" ht="11.25" x14ac:dyDescent="0.25"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</row>
    <row r="164" spans="9:21" s="89" customFormat="1" ht="11.25" x14ac:dyDescent="0.25"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</row>
    <row r="165" spans="9:21" s="89" customFormat="1" ht="11.25" x14ac:dyDescent="0.25"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</row>
    <row r="166" spans="9:21" s="89" customFormat="1" ht="11.25" x14ac:dyDescent="0.25"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</row>
    <row r="167" spans="9:21" s="89" customFormat="1" ht="11.25" x14ac:dyDescent="0.25"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</row>
    <row r="168" spans="9:21" s="89" customFormat="1" ht="11.25" x14ac:dyDescent="0.25"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</row>
    <row r="169" spans="9:21" s="89" customFormat="1" ht="11.25" x14ac:dyDescent="0.25"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</row>
    <row r="170" spans="9:21" s="89" customFormat="1" ht="11.25" x14ac:dyDescent="0.25"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</row>
    <row r="171" spans="9:21" s="89" customFormat="1" ht="11.25" x14ac:dyDescent="0.25"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</row>
    <row r="172" spans="9:21" s="89" customFormat="1" ht="11.25" x14ac:dyDescent="0.25"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</row>
    <row r="173" spans="9:21" s="89" customFormat="1" ht="11.25" x14ac:dyDescent="0.25"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</row>
    <row r="174" spans="9:21" s="89" customFormat="1" ht="11.25" x14ac:dyDescent="0.25"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</row>
    <row r="175" spans="9:21" s="89" customFormat="1" ht="11.25" x14ac:dyDescent="0.25"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</row>
    <row r="176" spans="9:21" s="89" customFormat="1" ht="11.25" x14ac:dyDescent="0.25"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</row>
    <row r="177" spans="9:21" s="89" customFormat="1" ht="11.25" x14ac:dyDescent="0.25"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</row>
    <row r="178" spans="9:21" s="89" customFormat="1" ht="11.25" x14ac:dyDescent="0.25"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</row>
    <row r="179" spans="9:21" s="89" customFormat="1" ht="11.25" x14ac:dyDescent="0.25"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</row>
    <row r="180" spans="9:21" s="89" customFormat="1" ht="11.25" x14ac:dyDescent="0.25"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</row>
    <row r="181" spans="9:21" s="89" customFormat="1" ht="11.25" x14ac:dyDescent="0.25"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</row>
    <row r="182" spans="9:21" s="89" customFormat="1" ht="11.25" x14ac:dyDescent="0.25"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</row>
    <row r="183" spans="9:21" s="89" customFormat="1" ht="11.25" x14ac:dyDescent="0.25"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</row>
    <row r="184" spans="9:21" s="89" customFormat="1" ht="11.25" x14ac:dyDescent="0.25"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</row>
    <row r="185" spans="9:21" s="89" customFormat="1" ht="11.25" x14ac:dyDescent="0.25"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</row>
    <row r="186" spans="9:21" s="89" customFormat="1" ht="11.25" x14ac:dyDescent="0.25"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</row>
    <row r="187" spans="9:21" s="89" customFormat="1" ht="11.25" x14ac:dyDescent="0.25"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</row>
    <row r="188" spans="9:21" s="89" customFormat="1" ht="11.25" x14ac:dyDescent="0.25"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</row>
    <row r="189" spans="9:21" s="89" customFormat="1" ht="11.25" x14ac:dyDescent="0.25"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</row>
    <row r="190" spans="9:21" s="89" customFormat="1" ht="11.25" x14ac:dyDescent="0.25"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</row>
    <row r="191" spans="9:21" s="89" customFormat="1" ht="11.25" x14ac:dyDescent="0.25"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</row>
    <row r="192" spans="9:21" s="89" customFormat="1" ht="11.25" x14ac:dyDescent="0.25"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</row>
    <row r="193" spans="9:21" s="89" customFormat="1" ht="11.25" x14ac:dyDescent="0.25"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</row>
    <row r="194" spans="9:21" s="89" customFormat="1" ht="11.25" x14ac:dyDescent="0.25"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</row>
    <row r="195" spans="9:21" s="89" customFormat="1" ht="11.25" x14ac:dyDescent="0.25"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</row>
    <row r="196" spans="9:21" s="89" customFormat="1" ht="11.25" x14ac:dyDescent="0.25"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</row>
    <row r="197" spans="9:21" s="89" customFormat="1" ht="11.25" x14ac:dyDescent="0.25"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</row>
    <row r="198" spans="9:21" s="89" customFormat="1" ht="11.25" x14ac:dyDescent="0.25"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</row>
    <row r="199" spans="9:21" s="89" customFormat="1" ht="11.25" x14ac:dyDescent="0.25"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</row>
    <row r="200" spans="9:21" s="89" customFormat="1" ht="11.25" x14ac:dyDescent="0.25"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</row>
    <row r="201" spans="9:21" s="89" customFormat="1" ht="11.25" x14ac:dyDescent="0.25"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</row>
    <row r="202" spans="9:21" s="89" customFormat="1" ht="11.25" x14ac:dyDescent="0.25"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</row>
    <row r="203" spans="9:21" s="89" customFormat="1" ht="11.25" x14ac:dyDescent="0.25"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</row>
    <row r="204" spans="9:21" s="89" customFormat="1" ht="11.25" x14ac:dyDescent="0.25"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</row>
    <row r="205" spans="9:21" s="89" customFormat="1" ht="11.25" x14ac:dyDescent="0.25"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</row>
    <row r="206" spans="9:21" s="89" customFormat="1" ht="11.25" x14ac:dyDescent="0.25"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</row>
    <row r="207" spans="9:21" s="89" customFormat="1" ht="11.25" x14ac:dyDescent="0.25"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</row>
    <row r="208" spans="9:21" s="89" customFormat="1" ht="11.25" x14ac:dyDescent="0.25"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</row>
    <row r="209" spans="9:21" s="89" customFormat="1" ht="11.25" x14ac:dyDescent="0.25"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</row>
    <row r="210" spans="9:21" s="89" customFormat="1" ht="11.25" x14ac:dyDescent="0.25"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</row>
    <row r="211" spans="9:21" s="89" customFormat="1" ht="11.25" x14ac:dyDescent="0.25"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</row>
    <row r="212" spans="9:21" s="89" customFormat="1" ht="11.25" x14ac:dyDescent="0.25"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</row>
    <row r="213" spans="9:21" s="89" customFormat="1" ht="11.25" x14ac:dyDescent="0.25"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</row>
    <row r="214" spans="9:21" s="89" customFormat="1" ht="11.25" x14ac:dyDescent="0.25"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</row>
    <row r="215" spans="9:21" s="89" customFormat="1" ht="11.25" x14ac:dyDescent="0.25"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</row>
    <row r="216" spans="9:21" s="89" customFormat="1" ht="11.25" x14ac:dyDescent="0.25"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</row>
    <row r="217" spans="9:21" s="89" customFormat="1" ht="11.25" x14ac:dyDescent="0.25"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</row>
    <row r="218" spans="9:21" s="89" customFormat="1" ht="11.25" x14ac:dyDescent="0.25"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</row>
    <row r="219" spans="9:21" s="89" customFormat="1" ht="11.25" x14ac:dyDescent="0.25"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</row>
    <row r="220" spans="9:21" s="89" customFormat="1" ht="11.25" x14ac:dyDescent="0.25"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</row>
    <row r="221" spans="9:21" s="89" customFormat="1" ht="11.25" x14ac:dyDescent="0.25"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</row>
    <row r="222" spans="9:21" s="89" customFormat="1" ht="11.25" x14ac:dyDescent="0.25"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</row>
    <row r="223" spans="9:21" s="89" customFormat="1" ht="11.25" x14ac:dyDescent="0.25"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</row>
    <row r="224" spans="9:21" s="89" customFormat="1" ht="11.25" x14ac:dyDescent="0.25"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</row>
    <row r="225" spans="9:21" s="89" customFormat="1" ht="11.25" x14ac:dyDescent="0.25"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</row>
    <row r="226" spans="9:21" s="89" customFormat="1" ht="11.25" x14ac:dyDescent="0.25"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</row>
    <row r="227" spans="9:21" s="89" customFormat="1" ht="11.25" x14ac:dyDescent="0.25"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</row>
    <row r="228" spans="9:21" s="89" customFormat="1" ht="11.25" x14ac:dyDescent="0.25"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</row>
    <row r="229" spans="9:21" s="89" customFormat="1" ht="11.25" x14ac:dyDescent="0.25"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</row>
    <row r="230" spans="9:21" s="89" customFormat="1" ht="11.25" x14ac:dyDescent="0.25"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</row>
    <row r="231" spans="9:21" s="89" customFormat="1" ht="11.25" x14ac:dyDescent="0.25"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</row>
    <row r="232" spans="9:21" s="89" customFormat="1" ht="11.25" x14ac:dyDescent="0.25"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</row>
    <row r="233" spans="9:21" s="89" customFormat="1" ht="11.25" x14ac:dyDescent="0.25"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</row>
    <row r="234" spans="9:21" s="89" customFormat="1" ht="11.25" x14ac:dyDescent="0.25"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</row>
    <row r="235" spans="9:21" s="89" customFormat="1" ht="11.25" x14ac:dyDescent="0.25"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</row>
    <row r="236" spans="9:21" s="89" customFormat="1" ht="11.25" x14ac:dyDescent="0.25"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</row>
    <row r="237" spans="9:21" s="89" customFormat="1" ht="11.25" x14ac:dyDescent="0.25"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</row>
    <row r="238" spans="9:21" s="89" customFormat="1" ht="11.25" x14ac:dyDescent="0.25"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</row>
    <row r="239" spans="9:21" s="89" customFormat="1" ht="11.25" x14ac:dyDescent="0.25"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</row>
    <row r="240" spans="9:21" s="89" customFormat="1" ht="11.25" x14ac:dyDescent="0.25"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</row>
    <row r="241" spans="9:21" s="89" customFormat="1" ht="11.25" x14ac:dyDescent="0.25"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</row>
    <row r="242" spans="9:21" s="89" customFormat="1" ht="11.25" x14ac:dyDescent="0.25"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</row>
    <row r="243" spans="9:21" s="89" customFormat="1" ht="11.25" x14ac:dyDescent="0.25"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</row>
    <row r="244" spans="9:21" s="89" customFormat="1" ht="11.25" x14ac:dyDescent="0.25"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</row>
    <row r="245" spans="9:21" s="89" customFormat="1" ht="11.25" x14ac:dyDescent="0.25"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</row>
    <row r="246" spans="9:21" s="89" customFormat="1" ht="11.25" x14ac:dyDescent="0.25"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</row>
    <row r="247" spans="9:21" s="89" customFormat="1" ht="11.25" x14ac:dyDescent="0.25"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</row>
    <row r="248" spans="9:21" s="89" customFormat="1" ht="11.25" x14ac:dyDescent="0.25"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</row>
    <row r="249" spans="9:21" s="89" customFormat="1" ht="11.25" x14ac:dyDescent="0.25"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</row>
    <row r="250" spans="9:21" s="89" customFormat="1" ht="11.25" x14ac:dyDescent="0.25"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</row>
    <row r="251" spans="9:21" s="89" customFormat="1" ht="11.25" x14ac:dyDescent="0.25"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</row>
    <row r="252" spans="9:21" s="89" customFormat="1" ht="11.25" x14ac:dyDescent="0.25"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</row>
    <row r="253" spans="9:21" s="89" customFormat="1" ht="11.25" x14ac:dyDescent="0.25"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</row>
    <row r="254" spans="9:21" s="89" customFormat="1" ht="11.25" x14ac:dyDescent="0.25"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</row>
    <row r="255" spans="9:21" s="89" customFormat="1" ht="11.25" x14ac:dyDescent="0.25"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</row>
    <row r="256" spans="9:21" s="89" customFormat="1" ht="11.25" x14ac:dyDescent="0.25"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</row>
    <row r="257" spans="9:21" s="89" customFormat="1" ht="11.25" x14ac:dyDescent="0.25"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</row>
    <row r="258" spans="9:21" s="89" customFormat="1" ht="11.25" x14ac:dyDescent="0.25"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</row>
    <row r="259" spans="9:21" s="89" customFormat="1" ht="11.25" x14ac:dyDescent="0.25"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</row>
    <row r="260" spans="9:21" s="89" customFormat="1" ht="11.25" x14ac:dyDescent="0.25"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</row>
    <row r="261" spans="9:21" s="89" customFormat="1" ht="11.25" x14ac:dyDescent="0.25"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</row>
    <row r="262" spans="9:21" s="89" customFormat="1" ht="11.25" x14ac:dyDescent="0.25"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</row>
    <row r="263" spans="9:21" s="89" customFormat="1" ht="11.25" x14ac:dyDescent="0.25"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</row>
    <row r="264" spans="9:21" s="89" customFormat="1" ht="11.25" x14ac:dyDescent="0.25"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</row>
    <row r="265" spans="9:21" s="89" customFormat="1" ht="11.25" x14ac:dyDescent="0.25"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</row>
    <row r="266" spans="9:21" s="89" customFormat="1" ht="11.25" x14ac:dyDescent="0.25"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</row>
    <row r="267" spans="9:21" s="89" customFormat="1" ht="11.25" x14ac:dyDescent="0.25"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</row>
    <row r="268" spans="9:21" s="89" customFormat="1" ht="11.25" x14ac:dyDescent="0.25"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</row>
    <row r="269" spans="9:21" s="89" customFormat="1" ht="11.25" x14ac:dyDescent="0.25"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</row>
    <row r="270" spans="9:21" s="89" customFormat="1" ht="11.25" x14ac:dyDescent="0.25"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</row>
    <row r="271" spans="9:21" s="89" customFormat="1" ht="11.25" x14ac:dyDescent="0.25"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</row>
    <row r="272" spans="9:21" s="89" customFormat="1" ht="11.25" x14ac:dyDescent="0.25"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</row>
    <row r="273" spans="9:21" s="89" customFormat="1" ht="11.25" x14ac:dyDescent="0.25"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</row>
    <row r="274" spans="9:21" s="89" customFormat="1" ht="11.25" x14ac:dyDescent="0.25"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</row>
    <row r="275" spans="9:21" s="89" customFormat="1" ht="11.25" x14ac:dyDescent="0.25"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</row>
    <row r="276" spans="9:21" s="89" customFormat="1" ht="11.25" x14ac:dyDescent="0.25"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</row>
    <row r="277" spans="9:21" s="89" customFormat="1" ht="11.25" x14ac:dyDescent="0.25"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</row>
    <row r="278" spans="9:21" s="89" customFormat="1" ht="11.25" x14ac:dyDescent="0.25"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</row>
    <row r="279" spans="9:21" s="89" customFormat="1" ht="11.25" x14ac:dyDescent="0.25"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</row>
    <row r="280" spans="9:21" s="89" customFormat="1" ht="11.25" x14ac:dyDescent="0.25"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</row>
    <row r="281" spans="9:21" s="89" customFormat="1" ht="11.25" x14ac:dyDescent="0.25"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</row>
    <row r="282" spans="9:21" s="89" customFormat="1" ht="11.25" x14ac:dyDescent="0.25"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</row>
    <row r="283" spans="9:21" s="89" customFormat="1" ht="11.25" x14ac:dyDescent="0.25"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</row>
    <row r="284" spans="9:21" s="89" customFormat="1" ht="11.25" x14ac:dyDescent="0.25"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</row>
    <row r="285" spans="9:21" s="89" customFormat="1" ht="11.25" x14ac:dyDescent="0.25"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</row>
    <row r="286" spans="9:21" s="89" customFormat="1" ht="11.25" x14ac:dyDescent="0.25"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</row>
    <row r="287" spans="9:21" s="89" customFormat="1" ht="11.25" x14ac:dyDescent="0.25"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</row>
    <row r="288" spans="9:21" s="89" customFormat="1" ht="11.25" x14ac:dyDescent="0.25"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</row>
    <row r="289" spans="9:21" s="89" customFormat="1" ht="11.25" x14ac:dyDescent="0.25"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</row>
    <row r="290" spans="9:21" s="89" customFormat="1" ht="11.25" x14ac:dyDescent="0.25"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</row>
    <row r="291" spans="9:21" s="89" customFormat="1" ht="11.25" x14ac:dyDescent="0.25"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</row>
    <row r="292" spans="9:21" s="89" customFormat="1" ht="11.25" x14ac:dyDescent="0.25"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</row>
    <row r="293" spans="9:21" s="89" customFormat="1" ht="11.25" x14ac:dyDescent="0.25"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</row>
    <row r="294" spans="9:21" s="89" customFormat="1" ht="11.25" x14ac:dyDescent="0.25"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</row>
    <row r="295" spans="9:21" s="89" customFormat="1" ht="11.25" x14ac:dyDescent="0.25"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</row>
    <row r="296" spans="9:21" s="89" customFormat="1" ht="11.25" x14ac:dyDescent="0.25"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</row>
    <row r="297" spans="9:21" s="89" customFormat="1" ht="11.25" x14ac:dyDescent="0.25"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</row>
    <row r="298" spans="9:21" s="89" customFormat="1" ht="11.25" x14ac:dyDescent="0.25"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</row>
    <row r="299" spans="9:21" s="89" customFormat="1" ht="11.25" x14ac:dyDescent="0.25"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</row>
    <row r="300" spans="9:21" s="89" customFormat="1" ht="11.25" x14ac:dyDescent="0.25"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</row>
    <row r="301" spans="9:21" s="89" customFormat="1" ht="11.25" x14ac:dyDescent="0.25"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</row>
    <row r="302" spans="9:21" s="89" customFormat="1" ht="11.25" x14ac:dyDescent="0.25"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</row>
    <row r="303" spans="9:21" s="89" customFormat="1" ht="11.25" x14ac:dyDescent="0.25"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</row>
    <row r="304" spans="9:21" s="89" customFormat="1" ht="11.25" x14ac:dyDescent="0.25"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</row>
    <row r="305" spans="9:21" s="89" customFormat="1" ht="11.25" x14ac:dyDescent="0.25"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</row>
    <row r="306" spans="9:21" s="89" customFormat="1" ht="11.25" x14ac:dyDescent="0.25"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</row>
    <row r="307" spans="9:21" s="89" customFormat="1" ht="11.25" x14ac:dyDescent="0.25"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</row>
    <row r="308" spans="9:21" s="89" customFormat="1" ht="11.25" x14ac:dyDescent="0.25"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</row>
    <row r="309" spans="9:21" s="89" customFormat="1" ht="11.25" x14ac:dyDescent="0.25"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</row>
    <row r="310" spans="9:21" s="89" customFormat="1" ht="11.25" x14ac:dyDescent="0.25"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</row>
    <row r="311" spans="9:21" s="89" customFormat="1" ht="11.25" x14ac:dyDescent="0.25"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</row>
    <row r="312" spans="9:21" s="89" customFormat="1" ht="11.25" x14ac:dyDescent="0.25"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</row>
    <row r="313" spans="9:21" s="89" customFormat="1" ht="11.25" x14ac:dyDescent="0.25"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</row>
    <row r="314" spans="9:21" s="89" customFormat="1" ht="11.25" x14ac:dyDescent="0.25"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</row>
    <row r="315" spans="9:21" s="89" customFormat="1" ht="11.25" x14ac:dyDescent="0.25"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</row>
    <row r="316" spans="9:21" s="89" customFormat="1" ht="11.25" x14ac:dyDescent="0.25"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</row>
    <row r="317" spans="9:21" s="89" customFormat="1" ht="11.25" x14ac:dyDescent="0.25"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</row>
    <row r="318" spans="9:21" s="89" customFormat="1" ht="11.25" x14ac:dyDescent="0.25"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</row>
    <row r="319" spans="9:21" s="89" customFormat="1" ht="11.25" x14ac:dyDescent="0.25"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</row>
    <row r="320" spans="9:21" s="89" customFormat="1" ht="11.25" x14ac:dyDescent="0.25"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</row>
    <row r="321" spans="9:21" s="89" customFormat="1" ht="11.25" x14ac:dyDescent="0.25"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</row>
    <row r="322" spans="9:21" s="89" customFormat="1" ht="11.25" x14ac:dyDescent="0.25"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</row>
    <row r="323" spans="9:21" s="89" customFormat="1" ht="11.25" x14ac:dyDescent="0.25"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</row>
    <row r="324" spans="9:21" s="89" customFormat="1" ht="11.25" x14ac:dyDescent="0.25"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</row>
    <row r="325" spans="9:21" s="89" customFormat="1" ht="11.25" x14ac:dyDescent="0.25"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</row>
    <row r="326" spans="9:21" s="89" customFormat="1" ht="11.25" x14ac:dyDescent="0.25"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</row>
    <row r="327" spans="9:21" s="89" customFormat="1" ht="11.25" x14ac:dyDescent="0.25"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</row>
    <row r="328" spans="9:21" s="89" customFormat="1" ht="11.25" x14ac:dyDescent="0.25"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</row>
    <row r="329" spans="9:21" s="89" customFormat="1" ht="11.25" x14ac:dyDescent="0.25"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</row>
    <row r="330" spans="9:21" s="89" customFormat="1" ht="11.25" x14ac:dyDescent="0.25"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</row>
    <row r="331" spans="9:21" s="89" customFormat="1" ht="11.25" x14ac:dyDescent="0.25"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</row>
    <row r="332" spans="9:21" s="89" customFormat="1" ht="11.25" x14ac:dyDescent="0.25"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</row>
    <row r="333" spans="9:21" s="89" customFormat="1" ht="11.25" x14ac:dyDescent="0.25"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</row>
    <row r="334" spans="9:21" s="89" customFormat="1" ht="11.25" x14ac:dyDescent="0.25"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</row>
    <row r="335" spans="9:21" s="89" customFormat="1" ht="11.25" x14ac:dyDescent="0.25"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</row>
    <row r="336" spans="9:21" s="89" customFormat="1" ht="11.25" x14ac:dyDescent="0.25"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</row>
    <row r="337" spans="9:21" s="89" customFormat="1" ht="11.25" x14ac:dyDescent="0.25"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</row>
    <row r="338" spans="9:21" s="89" customFormat="1" ht="11.25" x14ac:dyDescent="0.25"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</row>
    <row r="339" spans="9:21" s="89" customFormat="1" ht="11.25" x14ac:dyDescent="0.25"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</row>
    <row r="340" spans="9:21" s="89" customFormat="1" ht="11.25" x14ac:dyDescent="0.25"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</row>
    <row r="341" spans="9:21" s="89" customFormat="1" ht="11.25" x14ac:dyDescent="0.25"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</row>
    <row r="342" spans="9:21" s="89" customFormat="1" ht="11.25" x14ac:dyDescent="0.25"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</row>
    <row r="343" spans="9:21" s="89" customFormat="1" ht="11.25" x14ac:dyDescent="0.25"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</row>
    <row r="344" spans="9:21" s="89" customFormat="1" ht="11.25" x14ac:dyDescent="0.25"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</row>
    <row r="345" spans="9:21" s="89" customFormat="1" ht="11.25" x14ac:dyDescent="0.25"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</row>
    <row r="346" spans="9:21" s="89" customFormat="1" ht="11.25" x14ac:dyDescent="0.25"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</row>
    <row r="347" spans="9:21" s="89" customFormat="1" ht="11.25" x14ac:dyDescent="0.25"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</row>
    <row r="348" spans="9:21" s="89" customFormat="1" ht="11.25" x14ac:dyDescent="0.25"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</row>
    <row r="349" spans="9:21" s="89" customFormat="1" ht="11.25" x14ac:dyDescent="0.25"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</row>
    <row r="350" spans="9:21" s="89" customFormat="1" ht="11.25" x14ac:dyDescent="0.25"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</row>
    <row r="351" spans="9:21" s="89" customFormat="1" ht="11.25" x14ac:dyDescent="0.25"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</row>
    <row r="352" spans="9:21" s="89" customFormat="1" ht="11.25" x14ac:dyDescent="0.25"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</row>
    <row r="353" spans="9:21" s="89" customFormat="1" ht="11.25" x14ac:dyDescent="0.25"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</row>
    <row r="354" spans="9:21" s="89" customFormat="1" ht="11.25" x14ac:dyDescent="0.25"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</row>
    <row r="355" spans="9:21" s="89" customFormat="1" ht="11.25" x14ac:dyDescent="0.25"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</row>
    <row r="356" spans="9:21" s="89" customFormat="1" ht="11.25" x14ac:dyDescent="0.25"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</row>
    <row r="357" spans="9:21" s="89" customFormat="1" ht="11.25" x14ac:dyDescent="0.25"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</row>
    <row r="358" spans="9:21" s="89" customFormat="1" ht="11.25" x14ac:dyDescent="0.25"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</row>
    <row r="359" spans="9:21" s="89" customFormat="1" ht="11.25" x14ac:dyDescent="0.25"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</row>
    <row r="360" spans="9:21" s="89" customFormat="1" ht="11.25" x14ac:dyDescent="0.25"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</row>
    <row r="361" spans="9:21" s="89" customFormat="1" ht="11.25" x14ac:dyDescent="0.25"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</row>
    <row r="362" spans="9:21" s="89" customFormat="1" ht="11.25" x14ac:dyDescent="0.25"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</row>
    <row r="363" spans="9:21" s="89" customFormat="1" ht="11.25" x14ac:dyDescent="0.25"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</row>
    <row r="364" spans="9:21" s="89" customFormat="1" ht="11.25" x14ac:dyDescent="0.25"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</row>
    <row r="365" spans="9:21" s="89" customFormat="1" ht="11.25" x14ac:dyDescent="0.25"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</row>
    <row r="366" spans="9:21" s="89" customFormat="1" ht="11.25" x14ac:dyDescent="0.25"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</row>
  </sheetData>
  <mergeCells count="11">
    <mergeCell ref="A1:H1"/>
    <mergeCell ref="A2:H2"/>
    <mergeCell ref="A11:A12"/>
    <mergeCell ref="C11:C12"/>
    <mergeCell ref="D11:D12"/>
    <mergeCell ref="E11:G11"/>
    <mergeCell ref="J9:L9"/>
    <mergeCell ref="H11:H12"/>
    <mergeCell ref="B11:B12"/>
    <mergeCell ref="B44:C44"/>
    <mergeCell ref="B49:C49"/>
  </mergeCells>
  <printOptions horizontalCentered="1"/>
  <pageMargins left="0.78740157480314965" right="0.59055118110236227" top="0.78740157480314965" bottom="0.39370078740157483" header="0.31496062992125984" footer="0.31496062992125984"/>
  <pageSetup paperSize="9" scale="6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5D242-4534-42B8-BDF9-AFED5002AC74}">
  <sheetPr>
    <tabColor rgb="FF00B050"/>
    <pageSetUpPr fitToPage="1"/>
  </sheetPr>
  <dimension ref="A1:BO433"/>
  <sheetViews>
    <sheetView showZeros="0" zoomScale="90" zoomScaleNormal="90" workbookViewId="0">
      <selection activeCell="F26" sqref="F15:P26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7" width="8.28515625" style="4" customWidth="1"/>
    <col min="8" max="15" width="10.7109375" style="4" customWidth="1"/>
    <col min="16" max="16" width="13.28515625" style="4" customWidth="1"/>
    <col min="17" max="19" width="5.7109375" style="175" customWidth="1" outlineLevel="1"/>
    <col min="20" max="22" width="10.7109375" style="90" customWidth="1" outlineLevel="1"/>
    <col min="23" max="43" width="10.7109375" style="90" customWidth="1"/>
    <col min="44" max="45" width="8.85546875" style="90"/>
    <col min="46" max="66" width="8.85546875" style="54"/>
    <col min="67" max="16384" width="8.85546875" style="4"/>
  </cols>
  <sheetData>
    <row r="1" spans="1:67" ht="15" x14ac:dyDescent="0.2">
      <c r="A1" s="408" t="s">
        <v>382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67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67" ht="15" x14ac:dyDescent="0.2">
      <c r="A3" s="409" t="str">
        <f>Kopsavilkums!C34</f>
        <v>Lietus ūdens kanalizācijas tīkli - LKT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4" spans="1:67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</row>
    <row r="5" spans="1:67" x14ac:dyDescent="0.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67" x14ac:dyDescent="0.2">
      <c r="A6" s="1" t="s">
        <v>64</v>
      </c>
      <c r="B6" s="8"/>
      <c r="C6" s="9"/>
      <c r="D6" s="10"/>
      <c r="E6" s="5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</row>
    <row r="7" spans="1:67" x14ac:dyDescent="0.2">
      <c r="A7" s="1" t="s">
        <v>65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67" x14ac:dyDescent="0.2">
      <c r="A8" s="2" t="s">
        <v>66</v>
      </c>
      <c r="B8" s="8"/>
      <c r="C8" s="12"/>
      <c r="D8" s="10"/>
      <c r="E8" s="5"/>
      <c r="F8" s="10"/>
      <c r="G8" s="10"/>
      <c r="H8" s="11"/>
      <c r="I8" s="13"/>
      <c r="J8" s="11"/>
      <c r="K8" s="11"/>
      <c r="L8" s="11"/>
      <c r="M8" s="11"/>
      <c r="N8" s="11"/>
      <c r="O8" s="11"/>
      <c r="P8" s="11"/>
    </row>
    <row r="9" spans="1:67" x14ac:dyDescent="0.2">
      <c r="A9" s="1" t="s">
        <v>54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0</v>
      </c>
      <c r="P9" s="18">
        <f>P27</f>
        <v>0</v>
      </c>
    </row>
    <row r="10" spans="1:67" ht="4.9000000000000004" customHeight="1" x14ac:dyDescent="0.2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67" x14ac:dyDescent="0.2">
      <c r="A11" s="107" t="s">
        <v>67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[1]Kopsavilkums!H$9</f>
        <v>Tāme sastādīta: 2025.gada 01.oktobrī</v>
      </c>
    </row>
    <row r="12" spans="1:67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67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</v>
      </c>
      <c r="E13" s="418" t="s">
        <v>5</v>
      </c>
      <c r="F13" s="412" t="s">
        <v>6</v>
      </c>
      <c r="G13" s="420" t="s">
        <v>19</v>
      </c>
      <c r="H13" s="404" t="s">
        <v>7</v>
      </c>
      <c r="I13" s="405"/>
      <c r="J13" s="405"/>
      <c r="K13" s="406"/>
      <c r="L13" s="405" t="s">
        <v>8</v>
      </c>
      <c r="M13" s="405"/>
      <c r="N13" s="405"/>
      <c r="O13" s="405"/>
      <c r="P13" s="406"/>
      <c r="Q13" s="403"/>
      <c r="R13" s="403"/>
      <c r="S13" s="403"/>
    </row>
    <row r="14" spans="1:67" ht="34.9" customHeight="1" thickBot="1" x14ac:dyDescent="0.25">
      <c r="A14" s="422"/>
      <c r="B14" s="423"/>
      <c r="C14" s="423"/>
      <c r="D14" s="424"/>
      <c r="E14" s="425"/>
      <c r="F14" s="413"/>
      <c r="G14" s="421"/>
      <c r="H14" s="56" t="s">
        <v>17</v>
      </c>
      <c r="I14" s="60" t="s">
        <v>16</v>
      </c>
      <c r="J14" s="57" t="s">
        <v>15</v>
      </c>
      <c r="K14" s="58" t="s">
        <v>18</v>
      </c>
      <c r="L14" s="58" t="s">
        <v>9</v>
      </c>
      <c r="M14" s="56" t="s">
        <v>17</v>
      </c>
      <c r="N14" s="60" t="s">
        <v>16</v>
      </c>
      <c r="O14" s="57" t="s">
        <v>15</v>
      </c>
      <c r="P14" s="59" t="s">
        <v>14</v>
      </c>
      <c r="Q14" s="196"/>
      <c r="R14" s="196"/>
      <c r="S14" s="196"/>
    </row>
    <row r="15" spans="1:67" s="90" customFormat="1" ht="25.5" x14ac:dyDescent="0.2">
      <c r="A15" s="340"/>
      <c r="B15" s="198"/>
      <c r="C15" s="199" t="str">
        <f>A3</f>
        <v>Lietus ūdens kanalizācijas tīkli - LKT</v>
      </c>
      <c r="D15" s="201"/>
      <c r="E15" s="202"/>
      <c r="F15" s="119"/>
      <c r="G15" s="61"/>
      <c r="H15" s="26"/>
      <c r="I15" s="27"/>
      <c r="J15" s="27"/>
      <c r="K15" s="25"/>
      <c r="L15" s="25"/>
      <c r="M15" s="26"/>
      <c r="N15" s="27"/>
      <c r="O15" s="28"/>
      <c r="P15" s="29"/>
      <c r="Q15" s="175"/>
      <c r="R15" s="175"/>
      <c r="S15" s="175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4"/>
    </row>
    <row r="16" spans="1:67" s="175" customFormat="1" ht="22.5" x14ac:dyDescent="0.2">
      <c r="A16" s="345"/>
      <c r="B16" s="263"/>
      <c r="C16" s="178" t="s">
        <v>708</v>
      </c>
      <c r="D16" s="180"/>
      <c r="E16" s="183"/>
      <c r="F16" s="26"/>
      <c r="G16" s="61"/>
      <c r="H16" s="26"/>
      <c r="I16" s="27"/>
      <c r="J16" s="27"/>
      <c r="K16" s="25"/>
      <c r="L16" s="25"/>
      <c r="M16" s="26"/>
      <c r="N16" s="27"/>
      <c r="O16" s="28"/>
      <c r="P16" s="29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4"/>
    </row>
    <row r="17" spans="1:67" s="175" customFormat="1" ht="22.5" x14ac:dyDescent="0.2">
      <c r="A17" s="341">
        <v>1</v>
      </c>
      <c r="B17" s="121"/>
      <c r="C17" s="310" t="s">
        <v>709</v>
      </c>
      <c r="D17" s="180" t="s">
        <v>44</v>
      </c>
      <c r="E17" s="126">
        <v>98.299999999999983</v>
      </c>
      <c r="F17" s="119"/>
      <c r="G17" s="61"/>
      <c r="H17" s="26"/>
      <c r="I17" s="27"/>
      <c r="J17" s="27"/>
      <c r="K17" s="25"/>
      <c r="L17" s="25"/>
      <c r="M17" s="26"/>
      <c r="N17" s="27"/>
      <c r="O17" s="28"/>
      <c r="P17" s="29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4"/>
    </row>
    <row r="18" spans="1:67" s="175" customFormat="1" ht="22.5" x14ac:dyDescent="0.2">
      <c r="A18" s="345"/>
      <c r="B18" s="263"/>
      <c r="C18" s="187" t="s">
        <v>710</v>
      </c>
      <c r="D18" s="180" t="s">
        <v>44</v>
      </c>
      <c r="E18" s="181">
        <f>ROUND(E17*1.1,1)</f>
        <v>108.1</v>
      </c>
      <c r="F18" s="119"/>
      <c r="G18" s="61"/>
      <c r="H18" s="26"/>
      <c r="I18" s="27"/>
      <c r="J18" s="27"/>
      <c r="K18" s="25"/>
      <c r="L18" s="25"/>
      <c r="M18" s="26"/>
      <c r="N18" s="27"/>
      <c r="O18" s="28"/>
      <c r="P18" s="29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4"/>
    </row>
    <row r="19" spans="1:67" s="175" customFormat="1" ht="22.5" x14ac:dyDescent="0.2">
      <c r="A19" s="345"/>
      <c r="B19" s="263"/>
      <c r="C19" s="187" t="s">
        <v>711</v>
      </c>
      <c r="D19" s="180" t="s">
        <v>44</v>
      </c>
      <c r="E19" s="181">
        <f>E17</f>
        <v>98.299999999999983</v>
      </c>
      <c r="F19" s="26"/>
      <c r="G19" s="61"/>
      <c r="H19" s="26"/>
      <c r="I19" s="27"/>
      <c r="J19" s="27"/>
      <c r="K19" s="25"/>
      <c r="L19" s="25"/>
      <c r="M19" s="26"/>
      <c r="N19" s="27"/>
      <c r="O19" s="28"/>
      <c r="P19" s="29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4"/>
    </row>
    <row r="20" spans="1:67" s="175" customFormat="1" ht="22.5" x14ac:dyDescent="0.2">
      <c r="A20" s="345">
        <v>2</v>
      </c>
      <c r="B20" s="121"/>
      <c r="C20" s="310" t="s">
        <v>712</v>
      </c>
      <c r="D20" s="180" t="s">
        <v>44</v>
      </c>
      <c r="E20" s="126">
        <v>77</v>
      </c>
      <c r="F20" s="119"/>
      <c r="G20" s="61"/>
      <c r="H20" s="26"/>
      <c r="I20" s="27"/>
      <c r="J20" s="27"/>
      <c r="K20" s="25"/>
      <c r="L20" s="25"/>
      <c r="M20" s="26"/>
      <c r="N20" s="27"/>
      <c r="O20" s="28"/>
      <c r="P20" s="29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4"/>
    </row>
    <row r="21" spans="1:67" s="175" customFormat="1" ht="22.5" x14ac:dyDescent="0.2">
      <c r="A21" s="341"/>
      <c r="B21" s="263"/>
      <c r="C21" s="187" t="s">
        <v>713</v>
      </c>
      <c r="D21" s="180" t="s">
        <v>44</v>
      </c>
      <c r="E21" s="181">
        <f>ROUND(E20*1.1,1)</f>
        <v>84.7</v>
      </c>
      <c r="F21" s="119"/>
      <c r="G21" s="61"/>
      <c r="H21" s="26"/>
      <c r="I21" s="27"/>
      <c r="J21" s="27"/>
      <c r="K21" s="25"/>
      <c r="L21" s="25"/>
      <c r="M21" s="26"/>
      <c r="N21" s="27"/>
      <c r="O21" s="28"/>
      <c r="P21" s="29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4"/>
    </row>
    <row r="22" spans="1:67" s="175" customFormat="1" ht="22.5" x14ac:dyDescent="0.2">
      <c r="A22" s="345"/>
      <c r="B22" s="263"/>
      <c r="C22" s="187" t="s">
        <v>711</v>
      </c>
      <c r="D22" s="180" t="s">
        <v>44</v>
      </c>
      <c r="E22" s="181">
        <f>E20</f>
        <v>77</v>
      </c>
      <c r="F22" s="26"/>
      <c r="G22" s="61"/>
      <c r="H22" s="26"/>
      <c r="I22" s="27"/>
      <c r="J22" s="27"/>
      <c r="K22" s="25"/>
      <c r="L22" s="25"/>
      <c r="M22" s="26"/>
      <c r="N22" s="27"/>
      <c r="O22" s="28"/>
      <c r="P22" s="29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4"/>
    </row>
    <row r="23" spans="1:67" s="175" customFormat="1" x14ac:dyDescent="0.2">
      <c r="A23" s="345"/>
      <c r="B23" s="263"/>
      <c r="C23" s="178" t="s">
        <v>714</v>
      </c>
      <c r="D23" s="180"/>
      <c r="E23" s="183"/>
      <c r="F23" s="26"/>
      <c r="G23" s="61"/>
      <c r="H23" s="26"/>
      <c r="I23" s="27"/>
      <c r="J23" s="27"/>
      <c r="K23" s="25"/>
      <c r="L23" s="25"/>
      <c r="M23" s="26"/>
      <c r="N23" s="27"/>
      <c r="O23" s="28"/>
      <c r="P23" s="29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4"/>
    </row>
    <row r="24" spans="1:67" s="175" customFormat="1" ht="22.5" x14ac:dyDescent="0.2">
      <c r="A24" s="345">
        <v>3</v>
      </c>
      <c r="B24" s="121"/>
      <c r="C24" s="310" t="s">
        <v>715</v>
      </c>
      <c r="D24" s="180" t="s">
        <v>45</v>
      </c>
      <c r="E24" s="126">
        <v>3</v>
      </c>
      <c r="F24" s="119"/>
      <c r="G24" s="61"/>
      <c r="H24" s="26"/>
      <c r="I24" s="27"/>
      <c r="J24" s="27"/>
      <c r="K24" s="25"/>
      <c r="L24" s="25"/>
      <c r="M24" s="26"/>
      <c r="N24" s="27"/>
      <c r="O24" s="28"/>
      <c r="P24" s="29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4"/>
    </row>
    <row r="25" spans="1:67" s="175" customFormat="1" x14ac:dyDescent="0.2">
      <c r="A25" s="341"/>
      <c r="B25" s="263"/>
      <c r="C25" s="187" t="s">
        <v>716</v>
      </c>
      <c r="D25" s="180" t="s">
        <v>45</v>
      </c>
      <c r="E25" s="181">
        <f>E24</f>
        <v>3</v>
      </c>
      <c r="F25" s="119"/>
      <c r="G25" s="61"/>
      <c r="H25" s="26"/>
      <c r="I25" s="27"/>
      <c r="J25" s="27"/>
      <c r="K25" s="25"/>
      <c r="L25" s="25"/>
      <c r="M25" s="26"/>
      <c r="N25" s="27"/>
      <c r="O25" s="28"/>
      <c r="P25" s="29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4"/>
    </row>
    <row r="26" spans="1:67" s="175" customFormat="1" ht="23.25" thickBot="1" x14ac:dyDescent="0.25">
      <c r="A26" s="345"/>
      <c r="B26" s="263"/>
      <c r="C26" s="187" t="s">
        <v>641</v>
      </c>
      <c r="D26" s="180" t="s">
        <v>48</v>
      </c>
      <c r="E26" s="181">
        <f>E24</f>
        <v>3</v>
      </c>
      <c r="F26" s="26"/>
      <c r="G26" s="61"/>
      <c r="H26" s="26"/>
      <c r="I26" s="27"/>
      <c r="J26" s="27"/>
      <c r="K26" s="25"/>
      <c r="L26" s="25"/>
      <c r="M26" s="26"/>
      <c r="N26" s="27"/>
      <c r="O26" s="28"/>
      <c r="P26" s="29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4"/>
    </row>
    <row r="27" spans="1:67" s="54" customFormat="1" ht="15" customHeight="1" thickBo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2" t="s">
        <v>130</v>
      </c>
      <c r="L27" s="33">
        <f>ROUND(SUM(L15:L26),2)</f>
        <v>0</v>
      </c>
      <c r="M27" s="33">
        <f>ROUND(SUM(M15:M26),2)</f>
        <v>0</v>
      </c>
      <c r="N27" s="34">
        <f>ROUND(SUM(N15:N26),2)</f>
        <v>0</v>
      </c>
      <c r="O27" s="35">
        <f>ROUND(SUM(O15:O26),2)</f>
        <v>0</v>
      </c>
      <c r="P27" s="36">
        <f>ROUND(SUM(P15:P26),2)</f>
        <v>0</v>
      </c>
      <c r="Q27" s="175"/>
      <c r="R27" s="175"/>
      <c r="S27" s="175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BO27" s="4"/>
    </row>
    <row r="28" spans="1:67" s="54" customFormat="1" ht="34.9" customHeight="1" x14ac:dyDescent="0.2">
      <c r="A28" s="37"/>
      <c r="B28" s="7"/>
      <c r="C28" s="38"/>
      <c r="D28" s="39"/>
      <c r="E28" s="5"/>
      <c r="F28" s="5"/>
      <c r="G28" s="5"/>
      <c r="H28" s="7"/>
      <c r="I28" s="7"/>
      <c r="J28" s="7"/>
      <c r="K28" s="7"/>
      <c r="L28" s="7"/>
      <c r="M28" s="7"/>
      <c r="N28" s="7"/>
      <c r="O28" s="7"/>
      <c r="P28" s="7"/>
      <c r="Q28" s="175"/>
      <c r="R28" s="175"/>
      <c r="S28" s="175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BO28" s="4"/>
    </row>
    <row r="29" spans="1:67" s="54" customFormat="1" x14ac:dyDescent="0.2">
      <c r="A29" s="40"/>
      <c r="B29" s="41"/>
      <c r="C29" s="41" t="s">
        <v>10</v>
      </c>
      <c r="D29" s="42"/>
      <c r="E29" s="43"/>
      <c r="F29" s="44"/>
      <c r="G29" s="42"/>
      <c r="H29" s="45">
        <f>Kopsavilkums!C$43</f>
        <v>0</v>
      </c>
      <c r="I29" s="46" t="str">
        <f>[1]Kopsavilkums!D$45</f>
        <v>01.10.2025.</v>
      </c>
      <c r="J29" s="46"/>
      <c r="K29" s="41" t="s">
        <v>11</v>
      </c>
      <c r="L29" s="47"/>
      <c r="M29" s="44"/>
      <c r="N29" s="44"/>
      <c r="O29" s="380">
        <f>Kopsavilkums!C$48</f>
        <v>0</v>
      </c>
      <c r="P29" s="46" t="str">
        <f>[1]Kopsavilkums!D$50</f>
        <v>01.10.2025.</v>
      </c>
      <c r="Q29" s="175"/>
      <c r="R29" s="175"/>
      <c r="S29" s="175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BO29" s="4"/>
    </row>
    <row r="30" spans="1:67" s="54" customFormat="1" x14ac:dyDescent="0.2">
      <c r="A30" s="48"/>
      <c r="B30" s="49"/>
      <c r="C30" s="50"/>
      <c r="D30" s="407" t="s">
        <v>12</v>
      </c>
      <c r="E30" s="407"/>
      <c r="F30" s="407"/>
      <c r="G30" s="407"/>
      <c r="H30" s="407"/>
      <c r="I30" s="7"/>
      <c r="J30" s="7"/>
      <c r="K30" s="7"/>
      <c r="L30" s="407" t="s">
        <v>12</v>
      </c>
      <c r="M30" s="407"/>
      <c r="N30" s="407"/>
      <c r="O30" s="407"/>
      <c r="P30" s="7"/>
      <c r="Q30" s="175"/>
      <c r="R30" s="175"/>
      <c r="S30" s="175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BO30" s="4"/>
    </row>
    <row r="31" spans="1:67" s="54" customFormat="1" x14ac:dyDescent="0.2">
      <c r="A31" s="37"/>
      <c r="B31" s="7"/>
      <c r="C31" s="38"/>
      <c r="D31" s="5"/>
      <c r="E31" s="5"/>
      <c r="F31" s="5"/>
      <c r="G31" s="5"/>
      <c r="H31" s="7"/>
      <c r="I31" s="7"/>
      <c r="J31" s="7"/>
      <c r="K31" s="7"/>
      <c r="L31" s="7"/>
      <c r="M31" s="7"/>
      <c r="N31" s="7"/>
      <c r="O31" s="7"/>
      <c r="P31" s="7"/>
      <c r="Q31" s="175"/>
      <c r="R31" s="175"/>
      <c r="S31" s="175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BO31" s="4"/>
    </row>
    <row r="32" spans="1:67" s="54" customFormat="1" x14ac:dyDescent="0.2">
      <c r="A32" s="51"/>
      <c r="B32" s="46"/>
      <c r="C32" s="52"/>
      <c r="D32" s="52" t="str">
        <f>[1]Kopsavilkums!B$48</f>
        <v>-</v>
      </c>
      <c r="E32" s="5"/>
      <c r="F32" s="5"/>
      <c r="G32" s="5"/>
      <c r="H32" s="7"/>
      <c r="I32" s="7"/>
      <c r="J32" s="7"/>
      <c r="K32" s="7"/>
      <c r="L32" s="52" t="str">
        <f>Kopsavilkums!B$51</f>
        <v>Sert.Nr.</v>
      </c>
      <c r="M32" s="53"/>
      <c r="N32" s="7"/>
      <c r="O32" s="7"/>
      <c r="P32" s="7"/>
      <c r="Q32" s="175"/>
      <c r="R32" s="175"/>
      <c r="S32" s="175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BO32" s="4"/>
    </row>
    <row r="33" spans="17:45" s="54" customFormat="1" x14ac:dyDescent="0.25">
      <c r="Q33" s="175"/>
      <c r="R33" s="175"/>
      <c r="S33" s="175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</row>
    <row r="34" spans="17:45" s="54" customFormat="1" x14ac:dyDescent="0.25">
      <c r="Q34" s="175"/>
      <c r="R34" s="175"/>
      <c r="S34" s="175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</row>
    <row r="35" spans="17:45" s="54" customFormat="1" x14ac:dyDescent="0.25">
      <c r="Q35" s="175"/>
      <c r="R35" s="175"/>
      <c r="S35" s="175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</row>
    <row r="36" spans="17:45" s="54" customFormat="1" x14ac:dyDescent="0.25">
      <c r="Q36" s="175"/>
      <c r="R36" s="175"/>
      <c r="S36" s="175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</row>
    <row r="37" spans="17:45" s="54" customFormat="1" x14ac:dyDescent="0.25">
      <c r="Q37" s="175"/>
      <c r="R37" s="175"/>
      <c r="S37" s="175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</row>
    <row r="38" spans="17:45" s="54" customFormat="1" x14ac:dyDescent="0.25">
      <c r="Q38" s="175"/>
      <c r="R38" s="175"/>
      <c r="S38" s="175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</row>
    <row r="39" spans="17:45" s="54" customFormat="1" x14ac:dyDescent="0.25">
      <c r="Q39" s="175"/>
      <c r="R39" s="175"/>
      <c r="S39" s="175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</row>
    <row r="40" spans="17:45" s="54" customFormat="1" x14ac:dyDescent="0.25">
      <c r="Q40" s="175"/>
      <c r="R40" s="175"/>
      <c r="S40" s="175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</row>
    <row r="41" spans="17:45" s="54" customFormat="1" x14ac:dyDescent="0.25">
      <c r="Q41" s="175"/>
      <c r="R41" s="175"/>
      <c r="S41" s="175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</row>
    <row r="42" spans="17:45" s="54" customFormat="1" x14ac:dyDescent="0.25">
      <c r="Q42" s="175"/>
      <c r="R42" s="175"/>
      <c r="S42" s="175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</row>
    <row r="43" spans="17:45" s="54" customFormat="1" x14ac:dyDescent="0.25">
      <c r="Q43" s="175"/>
      <c r="R43" s="175"/>
      <c r="S43" s="175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</row>
    <row r="44" spans="17:45" s="54" customFormat="1" x14ac:dyDescent="0.25">
      <c r="Q44" s="175"/>
      <c r="R44" s="175"/>
      <c r="S44" s="175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</row>
    <row r="45" spans="17:45" s="54" customFormat="1" x14ac:dyDescent="0.25">
      <c r="Q45" s="175"/>
      <c r="R45" s="175"/>
      <c r="S45" s="175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</row>
    <row r="46" spans="17:45" s="54" customFormat="1" x14ac:dyDescent="0.25">
      <c r="Q46" s="175"/>
      <c r="R46" s="175"/>
      <c r="S46" s="175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</row>
    <row r="47" spans="17:45" s="54" customFormat="1" x14ac:dyDescent="0.25">
      <c r="Q47" s="175"/>
      <c r="R47" s="175"/>
      <c r="S47" s="175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</row>
    <row r="48" spans="17:45" s="54" customFormat="1" x14ac:dyDescent="0.25">
      <c r="Q48" s="175"/>
      <c r="R48" s="175"/>
      <c r="S48" s="175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</row>
    <row r="49" spans="17:45" s="54" customFormat="1" x14ac:dyDescent="0.25">
      <c r="Q49" s="175"/>
      <c r="R49" s="175"/>
      <c r="S49" s="175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</row>
    <row r="50" spans="17:45" s="54" customFormat="1" x14ac:dyDescent="0.25">
      <c r="Q50" s="175"/>
      <c r="R50" s="175"/>
      <c r="S50" s="175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</row>
    <row r="51" spans="17:45" s="54" customFormat="1" x14ac:dyDescent="0.25">
      <c r="Q51" s="175"/>
      <c r="R51" s="175"/>
      <c r="S51" s="175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</row>
    <row r="52" spans="17:45" s="54" customFormat="1" x14ac:dyDescent="0.25">
      <c r="Q52" s="175"/>
      <c r="R52" s="175"/>
      <c r="S52" s="175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</row>
    <row r="53" spans="17:45" s="54" customFormat="1" x14ac:dyDescent="0.25">
      <c r="Q53" s="175"/>
      <c r="R53" s="175"/>
      <c r="S53" s="175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</row>
    <row r="54" spans="17:45" s="54" customFormat="1" x14ac:dyDescent="0.25">
      <c r="Q54" s="175"/>
      <c r="R54" s="175"/>
      <c r="S54" s="175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</row>
    <row r="55" spans="17:45" s="54" customFormat="1" x14ac:dyDescent="0.25">
      <c r="Q55" s="175"/>
      <c r="R55" s="175"/>
      <c r="S55" s="175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</row>
    <row r="56" spans="17:45" s="54" customFormat="1" x14ac:dyDescent="0.25">
      <c r="Q56" s="175"/>
      <c r="R56" s="175"/>
      <c r="S56" s="175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</row>
    <row r="57" spans="17:45" s="54" customFormat="1" x14ac:dyDescent="0.25">
      <c r="Q57" s="175"/>
      <c r="R57" s="175"/>
      <c r="S57" s="175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</row>
    <row r="58" spans="17:45" s="54" customFormat="1" x14ac:dyDescent="0.25">
      <c r="Q58" s="175"/>
      <c r="R58" s="175"/>
      <c r="S58" s="175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</row>
    <row r="59" spans="17:45" s="54" customFormat="1" x14ac:dyDescent="0.25">
      <c r="Q59" s="175"/>
      <c r="R59" s="175"/>
      <c r="S59" s="175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</row>
    <row r="60" spans="17:45" s="54" customFormat="1" x14ac:dyDescent="0.25">
      <c r="Q60" s="175"/>
      <c r="R60" s="175"/>
      <c r="S60" s="175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</row>
    <row r="61" spans="17:45" s="54" customFormat="1" x14ac:dyDescent="0.25">
      <c r="Q61" s="175"/>
      <c r="R61" s="175"/>
      <c r="S61" s="175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</row>
    <row r="62" spans="17:45" s="54" customFormat="1" x14ac:dyDescent="0.25">
      <c r="Q62" s="175"/>
      <c r="R62" s="175"/>
      <c r="S62" s="175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</row>
    <row r="63" spans="17:45" s="54" customFormat="1" x14ac:dyDescent="0.25">
      <c r="Q63" s="175"/>
      <c r="R63" s="175"/>
      <c r="S63" s="175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</row>
    <row r="64" spans="17:45" s="54" customFormat="1" x14ac:dyDescent="0.25">
      <c r="Q64" s="175"/>
      <c r="R64" s="175"/>
      <c r="S64" s="175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</row>
    <row r="65" spans="17:45" s="54" customFormat="1" x14ac:dyDescent="0.25">
      <c r="Q65" s="175"/>
      <c r="R65" s="175"/>
      <c r="S65" s="175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</row>
    <row r="66" spans="17:45" s="54" customFormat="1" x14ac:dyDescent="0.25">
      <c r="Q66" s="175"/>
      <c r="R66" s="175"/>
      <c r="S66" s="175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</row>
    <row r="67" spans="17:45" s="54" customFormat="1" x14ac:dyDescent="0.25">
      <c r="Q67" s="175"/>
      <c r="R67" s="175"/>
      <c r="S67" s="175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</row>
    <row r="68" spans="17:45" s="54" customFormat="1" x14ac:dyDescent="0.25">
      <c r="Q68" s="175"/>
      <c r="R68" s="175"/>
      <c r="S68" s="175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</row>
    <row r="69" spans="17:45" s="54" customFormat="1" x14ac:dyDescent="0.25">
      <c r="Q69" s="175"/>
      <c r="R69" s="175"/>
      <c r="S69" s="175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</row>
    <row r="70" spans="17:45" s="54" customFormat="1" x14ac:dyDescent="0.25">
      <c r="Q70" s="175"/>
      <c r="R70" s="175"/>
      <c r="S70" s="175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</row>
    <row r="71" spans="17:45" s="54" customFormat="1" x14ac:dyDescent="0.25">
      <c r="Q71" s="175"/>
      <c r="R71" s="175"/>
      <c r="S71" s="175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</row>
    <row r="72" spans="17:45" s="54" customFormat="1" x14ac:dyDescent="0.25">
      <c r="Q72" s="175"/>
      <c r="R72" s="175"/>
      <c r="S72" s="175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</row>
    <row r="73" spans="17:45" s="54" customFormat="1" x14ac:dyDescent="0.25">
      <c r="Q73" s="175"/>
      <c r="R73" s="175"/>
      <c r="S73" s="175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</row>
    <row r="74" spans="17:45" s="54" customFormat="1" x14ac:dyDescent="0.25">
      <c r="Q74" s="175"/>
      <c r="R74" s="175"/>
      <c r="S74" s="175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</row>
    <row r="75" spans="17:45" s="54" customFormat="1" x14ac:dyDescent="0.25">
      <c r="Q75" s="175"/>
      <c r="R75" s="175"/>
      <c r="S75" s="175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</row>
    <row r="76" spans="17:45" s="54" customFormat="1" x14ac:dyDescent="0.25">
      <c r="Q76" s="175"/>
      <c r="R76" s="175"/>
      <c r="S76" s="175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</row>
    <row r="77" spans="17:45" s="54" customFormat="1" x14ac:dyDescent="0.25">
      <c r="Q77" s="175"/>
      <c r="R77" s="175"/>
      <c r="S77" s="175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</row>
    <row r="78" spans="17:45" s="54" customFormat="1" x14ac:dyDescent="0.25">
      <c r="Q78" s="175"/>
      <c r="R78" s="175"/>
      <c r="S78" s="175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</row>
    <row r="79" spans="17:45" s="54" customFormat="1" x14ac:dyDescent="0.25">
      <c r="Q79" s="175"/>
      <c r="R79" s="175"/>
      <c r="S79" s="175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</row>
    <row r="80" spans="17:45" s="54" customFormat="1" x14ac:dyDescent="0.25">
      <c r="Q80" s="175"/>
      <c r="R80" s="175"/>
      <c r="S80" s="175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</row>
    <row r="81" spans="17:45" s="54" customFormat="1" x14ac:dyDescent="0.25">
      <c r="Q81" s="175"/>
      <c r="R81" s="175"/>
      <c r="S81" s="175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</row>
    <row r="82" spans="17:45" s="54" customFormat="1" x14ac:dyDescent="0.25">
      <c r="Q82" s="175"/>
      <c r="R82" s="175"/>
      <c r="S82" s="175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</row>
    <row r="83" spans="17:45" s="54" customFormat="1" x14ac:dyDescent="0.25">
      <c r="Q83" s="175"/>
      <c r="R83" s="175"/>
      <c r="S83" s="175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</row>
    <row r="84" spans="17:45" s="54" customFormat="1" x14ac:dyDescent="0.25">
      <c r="Q84" s="175"/>
      <c r="R84" s="175"/>
      <c r="S84" s="175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</row>
    <row r="85" spans="17:45" s="54" customFormat="1" x14ac:dyDescent="0.25">
      <c r="Q85" s="175"/>
      <c r="R85" s="175"/>
      <c r="S85" s="175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</row>
    <row r="86" spans="17:45" s="54" customFormat="1" x14ac:dyDescent="0.25">
      <c r="Q86" s="175"/>
      <c r="R86" s="175"/>
      <c r="S86" s="175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</row>
    <row r="87" spans="17:45" s="54" customFormat="1" x14ac:dyDescent="0.25">
      <c r="Q87" s="175"/>
      <c r="R87" s="175"/>
      <c r="S87" s="175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</row>
    <row r="88" spans="17:45" s="54" customFormat="1" x14ac:dyDescent="0.25">
      <c r="Q88" s="175"/>
      <c r="R88" s="175"/>
      <c r="S88" s="175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</row>
    <row r="89" spans="17:45" s="54" customFormat="1" x14ac:dyDescent="0.25">
      <c r="Q89" s="175"/>
      <c r="R89" s="175"/>
      <c r="S89" s="175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</row>
    <row r="90" spans="17:45" s="54" customFormat="1" x14ac:dyDescent="0.25">
      <c r="Q90" s="175"/>
      <c r="R90" s="175"/>
      <c r="S90" s="175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</row>
    <row r="91" spans="17:45" s="54" customFormat="1" x14ac:dyDescent="0.25">
      <c r="Q91" s="175"/>
      <c r="R91" s="175"/>
      <c r="S91" s="175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</row>
    <row r="92" spans="17:45" s="54" customFormat="1" x14ac:dyDescent="0.25">
      <c r="Q92" s="175"/>
      <c r="R92" s="175"/>
      <c r="S92" s="175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</row>
    <row r="93" spans="17:45" s="54" customFormat="1" x14ac:dyDescent="0.25">
      <c r="Q93" s="175"/>
      <c r="R93" s="175"/>
      <c r="S93" s="175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</row>
    <row r="94" spans="17:45" s="54" customFormat="1" x14ac:dyDescent="0.25">
      <c r="Q94" s="175"/>
      <c r="R94" s="175"/>
      <c r="S94" s="175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</row>
    <row r="95" spans="17:45" s="54" customFormat="1" x14ac:dyDescent="0.25">
      <c r="Q95" s="175"/>
      <c r="R95" s="175"/>
      <c r="S95" s="175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</row>
    <row r="96" spans="17:45" s="54" customFormat="1" x14ac:dyDescent="0.25">
      <c r="Q96" s="175"/>
      <c r="R96" s="175"/>
      <c r="S96" s="175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</row>
    <row r="97" spans="17:45" s="54" customFormat="1" x14ac:dyDescent="0.25">
      <c r="Q97" s="175"/>
      <c r="R97" s="175"/>
      <c r="S97" s="175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</row>
    <row r="98" spans="17:45" s="54" customFormat="1" x14ac:dyDescent="0.25">
      <c r="Q98" s="175"/>
      <c r="R98" s="175"/>
      <c r="S98" s="175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</row>
    <row r="99" spans="17:45" s="54" customFormat="1" x14ac:dyDescent="0.25">
      <c r="Q99" s="175"/>
      <c r="R99" s="175"/>
      <c r="S99" s="175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</row>
    <row r="100" spans="17:45" s="54" customFormat="1" x14ac:dyDescent="0.25">
      <c r="Q100" s="175"/>
      <c r="R100" s="175"/>
      <c r="S100" s="175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</row>
    <row r="101" spans="17:45" s="54" customFormat="1" x14ac:dyDescent="0.25">
      <c r="Q101" s="175"/>
      <c r="R101" s="175"/>
      <c r="S101" s="175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</row>
    <row r="102" spans="17:45" s="54" customFormat="1" x14ac:dyDescent="0.25">
      <c r="Q102" s="175"/>
      <c r="R102" s="175"/>
      <c r="S102" s="175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</row>
    <row r="103" spans="17:45" s="54" customFormat="1" x14ac:dyDescent="0.25">
      <c r="Q103" s="175"/>
      <c r="R103" s="175"/>
      <c r="S103" s="175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</row>
    <row r="104" spans="17:45" s="54" customFormat="1" x14ac:dyDescent="0.25">
      <c r="Q104" s="175"/>
      <c r="R104" s="175"/>
      <c r="S104" s="175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</row>
    <row r="105" spans="17:45" s="54" customFormat="1" x14ac:dyDescent="0.25">
      <c r="Q105" s="175"/>
      <c r="R105" s="175"/>
      <c r="S105" s="175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</row>
    <row r="106" spans="17:45" s="54" customFormat="1" x14ac:dyDescent="0.25">
      <c r="Q106" s="175"/>
      <c r="R106" s="175"/>
      <c r="S106" s="175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</row>
    <row r="107" spans="17:45" s="54" customFormat="1" x14ac:dyDescent="0.25">
      <c r="Q107" s="175"/>
      <c r="R107" s="175"/>
      <c r="S107" s="175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</row>
    <row r="108" spans="17:45" s="54" customFormat="1" x14ac:dyDescent="0.25">
      <c r="Q108" s="175"/>
      <c r="R108" s="175"/>
      <c r="S108" s="175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</row>
    <row r="109" spans="17:45" s="54" customFormat="1" x14ac:dyDescent="0.25">
      <c r="Q109" s="175"/>
      <c r="R109" s="175"/>
      <c r="S109" s="175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</row>
    <row r="110" spans="17:45" s="54" customFormat="1" x14ac:dyDescent="0.25">
      <c r="Q110" s="175"/>
      <c r="R110" s="175"/>
      <c r="S110" s="175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</row>
    <row r="111" spans="17:45" s="54" customFormat="1" x14ac:dyDescent="0.25">
      <c r="Q111" s="175"/>
      <c r="R111" s="175"/>
      <c r="S111" s="175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</row>
    <row r="112" spans="17:45" s="54" customFormat="1" x14ac:dyDescent="0.25">
      <c r="Q112" s="175"/>
      <c r="R112" s="175"/>
      <c r="S112" s="175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</row>
    <row r="113" spans="17:45" s="54" customFormat="1" x14ac:dyDescent="0.25">
      <c r="Q113" s="175"/>
      <c r="R113" s="175"/>
      <c r="S113" s="175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</row>
    <row r="114" spans="17:45" s="54" customFormat="1" x14ac:dyDescent="0.25">
      <c r="Q114" s="175"/>
      <c r="R114" s="175"/>
      <c r="S114" s="175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</row>
    <row r="115" spans="17:45" s="54" customFormat="1" x14ac:dyDescent="0.25">
      <c r="Q115" s="175"/>
      <c r="R115" s="175"/>
      <c r="S115" s="175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</row>
    <row r="116" spans="17:45" s="54" customFormat="1" x14ac:dyDescent="0.25">
      <c r="Q116" s="175"/>
      <c r="R116" s="175"/>
      <c r="S116" s="175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</row>
    <row r="117" spans="17:45" s="54" customFormat="1" x14ac:dyDescent="0.25">
      <c r="Q117" s="175"/>
      <c r="R117" s="175"/>
      <c r="S117" s="175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</row>
    <row r="118" spans="17:45" s="54" customFormat="1" x14ac:dyDescent="0.25">
      <c r="Q118" s="175"/>
      <c r="R118" s="175"/>
      <c r="S118" s="175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</row>
    <row r="119" spans="17:45" s="54" customFormat="1" x14ac:dyDescent="0.25">
      <c r="Q119" s="175"/>
      <c r="R119" s="175"/>
      <c r="S119" s="175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</row>
    <row r="120" spans="17:45" s="54" customFormat="1" x14ac:dyDescent="0.25">
      <c r="Q120" s="175"/>
      <c r="R120" s="175"/>
      <c r="S120" s="175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</row>
    <row r="121" spans="17:45" s="54" customFormat="1" x14ac:dyDescent="0.25">
      <c r="Q121" s="175"/>
      <c r="R121" s="175"/>
      <c r="S121" s="175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</row>
    <row r="122" spans="17:45" s="54" customFormat="1" x14ac:dyDescent="0.25">
      <c r="Q122" s="175"/>
      <c r="R122" s="175"/>
      <c r="S122" s="175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</row>
    <row r="123" spans="17:45" s="54" customFormat="1" x14ac:dyDescent="0.25">
      <c r="Q123" s="175"/>
      <c r="R123" s="175"/>
      <c r="S123" s="175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</row>
    <row r="124" spans="17:45" s="54" customFormat="1" x14ac:dyDescent="0.25">
      <c r="Q124" s="175"/>
      <c r="R124" s="175"/>
      <c r="S124" s="175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</row>
    <row r="125" spans="17:45" s="54" customFormat="1" x14ac:dyDescent="0.25">
      <c r="Q125" s="175"/>
      <c r="R125" s="175"/>
      <c r="S125" s="175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</row>
    <row r="126" spans="17:45" s="54" customFormat="1" x14ac:dyDescent="0.25">
      <c r="Q126" s="175"/>
      <c r="R126" s="175"/>
      <c r="S126" s="175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</row>
    <row r="127" spans="17:45" s="54" customFormat="1" x14ac:dyDescent="0.25">
      <c r="Q127" s="175"/>
      <c r="R127" s="175"/>
      <c r="S127" s="175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</row>
    <row r="128" spans="17:45" s="54" customFormat="1" x14ac:dyDescent="0.25">
      <c r="Q128" s="175"/>
      <c r="R128" s="175"/>
      <c r="S128" s="175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</row>
    <row r="129" spans="17:45" s="54" customFormat="1" x14ac:dyDescent="0.25">
      <c r="Q129" s="175"/>
      <c r="R129" s="175"/>
      <c r="S129" s="175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</row>
    <row r="130" spans="17:45" s="54" customFormat="1" x14ac:dyDescent="0.25">
      <c r="Q130" s="175"/>
      <c r="R130" s="175"/>
      <c r="S130" s="175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</row>
    <row r="131" spans="17:45" s="54" customFormat="1" x14ac:dyDescent="0.25">
      <c r="Q131" s="175"/>
      <c r="R131" s="175"/>
      <c r="S131" s="175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</row>
    <row r="132" spans="17:45" s="54" customFormat="1" x14ac:dyDescent="0.25">
      <c r="Q132" s="175"/>
      <c r="R132" s="175"/>
      <c r="S132" s="175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</row>
    <row r="133" spans="17:45" s="54" customFormat="1" x14ac:dyDescent="0.25">
      <c r="Q133" s="175"/>
      <c r="R133" s="175"/>
      <c r="S133" s="175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</row>
    <row r="134" spans="17:45" s="54" customFormat="1" x14ac:dyDescent="0.25">
      <c r="Q134" s="175"/>
      <c r="R134" s="175"/>
      <c r="S134" s="175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</row>
    <row r="135" spans="17:45" s="54" customFormat="1" x14ac:dyDescent="0.25">
      <c r="Q135" s="175"/>
      <c r="R135" s="175"/>
      <c r="S135" s="175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</row>
    <row r="136" spans="17:45" s="54" customFormat="1" x14ac:dyDescent="0.25">
      <c r="Q136" s="175"/>
      <c r="R136" s="175"/>
      <c r="S136" s="175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</row>
    <row r="137" spans="17:45" s="54" customFormat="1" x14ac:dyDescent="0.25">
      <c r="Q137" s="175"/>
      <c r="R137" s="175"/>
      <c r="S137" s="175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</row>
    <row r="138" spans="17:45" s="54" customFormat="1" x14ac:dyDescent="0.25">
      <c r="Q138" s="175"/>
      <c r="R138" s="175"/>
      <c r="S138" s="175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</row>
    <row r="139" spans="17:45" s="54" customFormat="1" x14ac:dyDescent="0.25">
      <c r="Q139" s="175"/>
      <c r="R139" s="175"/>
      <c r="S139" s="175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</row>
    <row r="140" spans="17:45" s="54" customFormat="1" x14ac:dyDescent="0.25">
      <c r="Q140" s="175"/>
      <c r="R140" s="175"/>
      <c r="S140" s="175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</row>
    <row r="141" spans="17:45" s="54" customFormat="1" x14ac:dyDescent="0.25">
      <c r="Q141" s="175"/>
      <c r="R141" s="175"/>
      <c r="S141" s="175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</row>
    <row r="142" spans="17:45" s="54" customFormat="1" x14ac:dyDescent="0.25">
      <c r="Q142" s="175"/>
      <c r="R142" s="175"/>
      <c r="S142" s="175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</row>
    <row r="143" spans="17:45" s="54" customFormat="1" x14ac:dyDescent="0.25">
      <c r="Q143" s="175"/>
      <c r="R143" s="175"/>
      <c r="S143" s="175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</row>
    <row r="144" spans="17:45" s="54" customFormat="1" x14ac:dyDescent="0.25">
      <c r="Q144" s="175"/>
      <c r="R144" s="175"/>
      <c r="S144" s="175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</row>
    <row r="145" spans="17:45" s="54" customFormat="1" x14ac:dyDescent="0.25">
      <c r="Q145" s="175"/>
      <c r="R145" s="175"/>
      <c r="S145" s="175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</row>
    <row r="146" spans="17:45" s="54" customFormat="1" x14ac:dyDescent="0.25">
      <c r="Q146" s="175"/>
      <c r="R146" s="175"/>
      <c r="S146" s="175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</row>
    <row r="147" spans="17:45" s="54" customFormat="1" x14ac:dyDescent="0.25">
      <c r="Q147" s="175"/>
      <c r="R147" s="175"/>
      <c r="S147" s="175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</row>
    <row r="148" spans="17:45" s="54" customFormat="1" x14ac:dyDescent="0.25">
      <c r="Q148" s="175"/>
      <c r="R148" s="175"/>
      <c r="S148" s="175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</row>
    <row r="149" spans="17:45" s="54" customFormat="1" x14ac:dyDescent="0.25">
      <c r="Q149" s="175"/>
      <c r="R149" s="175"/>
      <c r="S149" s="175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</row>
    <row r="150" spans="17:45" s="54" customFormat="1" x14ac:dyDescent="0.25">
      <c r="Q150" s="175"/>
      <c r="R150" s="175"/>
      <c r="S150" s="175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</row>
    <row r="151" spans="17:45" s="54" customFormat="1" x14ac:dyDescent="0.25">
      <c r="Q151" s="175"/>
      <c r="R151" s="175"/>
      <c r="S151" s="175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</row>
    <row r="152" spans="17:45" s="54" customFormat="1" x14ac:dyDescent="0.25">
      <c r="Q152" s="175"/>
      <c r="R152" s="175"/>
      <c r="S152" s="175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</row>
    <row r="153" spans="17:45" s="54" customFormat="1" x14ac:dyDescent="0.25">
      <c r="Q153" s="175"/>
      <c r="R153" s="175"/>
      <c r="S153" s="175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</row>
    <row r="154" spans="17:45" s="54" customFormat="1" x14ac:dyDescent="0.25">
      <c r="Q154" s="175"/>
      <c r="R154" s="175"/>
      <c r="S154" s="175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</row>
    <row r="155" spans="17:45" s="54" customFormat="1" x14ac:dyDescent="0.25">
      <c r="Q155" s="175"/>
      <c r="R155" s="175"/>
      <c r="S155" s="175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</row>
    <row r="156" spans="17:45" s="54" customFormat="1" x14ac:dyDescent="0.25">
      <c r="Q156" s="175"/>
      <c r="R156" s="175"/>
      <c r="S156" s="175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</row>
    <row r="157" spans="17:45" s="54" customFormat="1" x14ac:dyDescent="0.25">
      <c r="Q157" s="175"/>
      <c r="R157" s="175"/>
      <c r="S157" s="175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</row>
    <row r="158" spans="17:45" s="54" customFormat="1" x14ac:dyDescent="0.25">
      <c r="Q158" s="175"/>
      <c r="R158" s="175"/>
      <c r="S158" s="175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</row>
    <row r="159" spans="17:45" s="54" customFormat="1" x14ac:dyDescent="0.25">
      <c r="Q159" s="175"/>
      <c r="R159" s="175"/>
      <c r="S159" s="175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</row>
    <row r="160" spans="17:45" s="54" customFormat="1" x14ac:dyDescent="0.25">
      <c r="Q160" s="175"/>
      <c r="R160" s="175"/>
      <c r="S160" s="175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</row>
    <row r="161" spans="17:45" s="54" customFormat="1" x14ac:dyDescent="0.25">
      <c r="Q161" s="175"/>
      <c r="R161" s="175"/>
      <c r="S161" s="175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</row>
    <row r="162" spans="17:45" s="54" customFormat="1" x14ac:dyDescent="0.25">
      <c r="Q162" s="175"/>
      <c r="R162" s="175"/>
      <c r="S162" s="175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</row>
    <row r="163" spans="17:45" s="54" customFormat="1" x14ac:dyDescent="0.25">
      <c r="Q163" s="175"/>
      <c r="R163" s="175"/>
      <c r="S163" s="175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</row>
    <row r="164" spans="17:45" s="54" customFormat="1" x14ac:dyDescent="0.25">
      <c r="Q164" s="175"/>
      <c r="R164" s="175"/>
      <c r="S164" s="175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</row>
    <row r="165" spans="17:45" s="54" customFormat="1" x14ac:dyDescent="0.25">
      <c r="Q165" s="175"/>
      <c r="R165" s="175"/>
      <c r="S165" s="175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</row>
    <row r="166" spans="17:45" s="54" customFormat="1" x14ac:dyDescent="0.25">
      <c r="Q166" s="175"/>
      <c r="R166" s="175"/>
      <c r="S166" s="175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</row>
    <row r="167" spans="17:45" s="54" customFormat="1" x14ac:dyDescent="0.25">
      <c r="Q167" s="175"/>
      <c r="R167" s="175"/>
      <c r="S167" s="175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</row>
    <row r="168" spans="17:45" s="54" customFormat="1" x14ac:dyDescent="0.25">
      <c r="Q168" s="175"/>
      <c r="R168" s="175"/>
      <c r="S168" s="175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</row>
    <row r="169" spans="17:45" s="54" customFormat="1" x14ac:dyDescent="0.25">
      <c r="Q169" s="175"/>
      <c r="R169" s="175"/>
      <c r="S169" s="175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</row>
    <row r="170" spans="17:45" s="54" customFormat="1" x14ac:dyDescent="0.25">
      <c r="Q170" s="175"/>
      <c r="R170" s="175"/>
      <c r="S170" s="175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</row>
    <row r="171" spans="17:45" s="54" customFormat="1" x14ac:dyDescent="0.25">
      <c r="Q171" s="175"/>
      <c r="R171" s="175"/>
      <c r="S171" s="175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</row>
    <row r="172" spans="17:45" s="54" customFormat="1" x14ac:dyDescent="0.25">
      <c r="Q172" s="175"/>
      <c r="R172" s="175"/>
      <c r="S172" s="175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</row>
    <row r="173" spans="17:45" s="54" customFormat="1" x14ac:dyDescent="0.25">
      <c r="Q173" s="175"/>
      <c r="R173" s="175"/>
      <c r="S173" s="175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</row>
    <row r="174" spans="17:45" s="54" customFormat="1" x14ac:dyDescent="0.25">
      <c r="Q174" s="175"/>
      <c r="R174" s="175"/>
      <c r="S174" s="175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</row>
    <row r="175" spans="17:45" s="54" customFormat="1" x14ac:dyDescent="0.25">
      <c r="Q175" s="175"/>
      <c r="R175" s="175"/>
      <c r="S175" s="175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</row>
    <row r="176" spans="17:45" s="54" customFormat="1" x14ac:dyDescent="0.25">
      <c r="Q176" s="175"/>
      <c r="R176" s="175"/>
      <c r="S176" s="175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</row>
    <row r="177" spans="17:45" s="54" customFormat="1" x14ac:dyDescent="0.25">
      <c r="Q177" s="175"/>
      <c r="R177" s="175"/>
      <c r="S177" s="175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</row>
    <row r="178" spans="17:45" s="54" customFormat="1" x14ac:dyDescent="0.25">
      <c r="Q178" s="175"/>
      <c r="R178" s="175"/>
      <c r="S178" s="175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</row>
    <row r="179" spans="17:45" s="54" customFormat="1" x14ac:dyDescent="0.25">
      <c r="Q179" s="175"/>
      <c r="R179" s="175"/>
      <c r="S179" s="175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</row>
    <row r="180" spans="17:45" s="54" customFormat="1" x14ac:dyDescent="0.25">
      <c r="Q180" s="175"/>
      <c r="R180" s="175"/>
      <c r="S180" s="175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</row>
    <row r="181" spans="17:45" s="54" customFormat="1" x14ac:dyDescent="0.25">
      <c r="Q181" s="175"/>
      <c r="R181" s="175"/>
      <c r="S181" s="175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</row>
    <row r="182" spans="17:45" s="54" customFormat="1" x14ac:dyDescent="0.25">
      <c r="Q182" s="175"/>
      <c r="R182" s="175"/>
      <c r="S182" s="175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</row>
    <row r="183" spans="17:45" s="54" customFormat="1" x14ac:dyDescent="0.25">
      <c r="Q183" s="175"/>
      <c r="R183" s="175"/>
      <c r="S183" s="175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</row>
    <row r="184" spans="17:45" s="54" customFormat="1" x14ac:dyDescent="0.25">
      <c r="Q184" s="175"/>
      <c r="R184" s="175"/>
      <c r="S184" s="175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</row>
    <row r="185" spans="17:45" s="54" customFormat="1" x14ac:dyDescent="0.25">
      <c r="Q185" s="175"/>
      <c r="R185" s="175"/>
      <c r="S185" s="175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</row>
    <row r="186" spans="17:45" s="54" customFormat="1" x14ac:dyDescent="0.25">
      <c r="Q186" s="175"/>
      <c r="R186" s="175"/>
      <c r="S186" s="175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</row>
    <row r="187" spans="17:45" s="54" customFormat="1" x14ac:dyDescent="0.25">
      <c r="Q187" s="175"/>
      <c r="R187" s="175"/>
      <c r="S187" s="175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</row>
    <row r="188" spans="17:45" s="54" customFormat="1" x14ac:dyDescent="0.25">
      <c r="Q188" s="175"/>
      <c r="R188" s="175"/>
      <c r="S188" s="175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</row>
    <row r="189" spans="17:45" s="54" customFormat="1" x14ac:dyDescent="0.25">
      <c r="Q189" s="175"/>
      <c r="R189" s="175"/>
      <c r="S189" s="175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</row>
    <row r="190" spans="17:45" s="54" customFormat="1" x14ac:dyDescent="0.25">
      <c r="Q190" s="175"/>
      <c r="R190" s="175"/>
      <c r="S190" s="175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</row>
    <row r="191" spans="17:45" s="54" customFormat="1" x14ac:dyDescent="0.25">
      <c r="Q191" s="175"/>
      <c r="R191" s="175"/>
      <c r="S191" s="175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</row>
    <row r="192" spans="17:45" s="54" customFormat="1" x14ac:dyDescent="0.25">
      <c r="Q192" s="175"/>
      <c r="R192" s="175"/>
      <c r="S192" s="175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</row>
    <row r="193" spans="17:45" s="54" customFormat="1" x14ac:dyDescent="0.25">
      <c r="Q193" s="175"/>
      <c r="R193" s="175"/>
      <c r="S193" s="175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</row>
    <row r="194" spans="17:45" s="54" customFormat="1" x14ac:dyDescent="0.25">
      <c r="Q194" s="175"/>
      <c r="R194" s="175"/>
      <c r="S194" s="175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</row>
    <row r="195" spans="17:45" s="54" customFormat="1" x14ac:dyDescent="0.25">
      <c r="Q195" s="175"/>
      <c r="R195" s="175"/>
      <c r="S195" s="175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</row>
    <row r="196" spans="17:45" s="54" customFormat="1" x14ac:dyDescent="0.25">
      <c r="Q196" s="175"/>
      <c r="R196" s="175"/>
      <c r="S196" s="175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</row>
    <row r="197" spans="17:45" s="54" customFormat="1" x14ac:dyDescent="0.25">
      <c r="Q197" s="175"/>
      <c r="R197" s="175"/>
      <c r="S197" s="175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</row>
    <row r="198" spans="17:45" s="54" customFormat="1" x14ac:dyDescent="0.25">
      <c r="Q198" s="175"/>
      <c r="R198" s="175"/>
      <c r="S198" s="175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</row>
    <row r="199" spans="17:45" s="54" customFormat="1" x14ac:dyDescent="0.25">
      <c r="Q199" s="175"/>
      <c r="R199" s="175"/>
      <c r="S199" s="175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</row>
    <row r="200" spans="17:45" s="54" customFormat="1" x14ac:dyDescent="0.25">
      <c r="Q200" s="175"/>
      <c r="R200" s="175"/>
      <c r="S200" s="175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</row>
    <row r="201" spans="17:45" s="54" customFormat="1" x14ac:dyDescent="0.25">
      <c r="Q201" s="175"/>
      <c r="R201" s="175"/>
      <c r="S201" s="175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</row>
    <row r="202" spans="17:45" s="54" customFormat="1" x14ac:dyDescent="0.25">
      <c r="Q202" s="175"/>
      <c r="R202" s="175"/>
      <c r="S202" s="175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</row>
    <row r="203" spans="17:45" s="54" customFormat="1" x14ac:dyDescent="0.25">
      <c r="Q203" s="175"/>
      <c r="R203" s="175"/>
      <c r="S203" s="175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</row>
    <row r="204" spans="17:45" s="54" customFormat="1" x14ac:dyDescent="0.25">
      <c r="Q204" s="175"/>
      <c r="R204" s="175"/>
      <c r="S204" s="175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</row>
    <row r="205" spans="17:45" s="54" customFormat="1" x14ac:dyDescent="0.25">
      <c r="Q205" s="175"/>
      <c r="R205" s="175"/>
      <c r="S205" s="175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</row>
    <row r="206" spans="17:45" s="54" customFormat="1" x14ac:dyDescent="0.25">
      <c r="Q206" s="175"/>
      <c r="R206" s="175"/>
      <c r="S206" s="175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</row>
    <row r="207" spans="17:45" s="54" customFormat="1" x14ac:dyDescent="0.25">
      <c r="Q207" s="175"/>
      <c r="R207" s="175"/>
      <c r="S207" s="175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</row>
    <row r="208" spans="17:45" s="54" customFormat="1" x14ac:dyDescent="0.25">
      <c r="Q208" s="175"/>
      <c r="R208" s="175"/>
      <c r="S208" s="175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</row>
    <row r="209" spans="17:45" s="54" customFormat="1" x14ac:dyDescent="0.25">
      <c r="Q209" s="175"/>
      <c r="R209" s="175"/>
      <c r="S209" s="175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</row>
    <row r="210" spans="17:45" s="54" customFormat="1" x14ac:dyDescent="0.25">
      <c r="Q210" s="175"/>
      <c r="R210" s="175"/>
      <c r="S210" s="175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</row>
    <row r="211" spans="17:45" s="54" customFormat="1" x14ac:dyDescent="0.25">
      <c r="Q211" s="175"/>
      <c r="R211" s="175"/>
      <c r="S211" s="175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</row>
    <row r="212" spans="17:45" s="54" customFormat="1" x14ac:dyDescent="0.25">
      <c r="Q212" s="175"/>
      <c r="R212" s="175"/>
      <c r="S212" s="175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</row>
    <row r="213" spans="17:45" s="54" customFormat="1" x14ac:dyDescent="0.25">
      <c r="Q213" s="175"/>
      <c r="R213" s="175"/>
      <c r="S213" s="175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</row>
    <row r="214" spans="17:45" s="54" customFormat="1" x14ac:dyDescent="0.25">
      <c r="Q214" s="175"/>
      <c r="R214" s="175"/>
      <c r="S214" s="175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</row>
    <row r="215" spans="17:45" s="54" customFormat="1" x14ac:dyDescent="0.25">
      <c r="Q215" s="175"/>
      <c r="R215" s="175"/>
      <c r="S215" s="175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</row>
    <row r="216" spans="17:45" s="54" customFormat="1" x14ac:dyDescent="0.25">
      <c r="Q216" s="175"/>
      <c r="R216" s="175"/>
      <c r="S216" s="175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</row>
    <row r="217" spans="17:45" s="54" customFormat="1" x14ac:dyDescent="0.25">
      <c r="Q217" s="175"/>
      <c r="R217" s="175"/>
      <c r="S217" s="175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</row>
    <row r="218" spans="17:45" s="54" customFormat="1" x14ac:dyDescent="0.25">
      <c r="Q218" s="175"/>
      <c r="R218" s="175"/>
      <c r="S218" s="175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</row>
    <row r="219" spans="17:45" s="54" customFormat="1" x14ac:dyDescent="0.25">
      <c r="Q219" s="175"/>
      <c r="R219" s="175"/>
      <c r="S219" s="175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</row>
    <row r="220" spans="17:45" s="54" customFormat="1" x14ac:dyDescent="0.25">
      <c r="Q220" s="175"/>
      <c r="R220" s="175"/>
      <c r="S220" s="175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</row>
    <row r="221" spans="17:45" s="54" customFormat="1" x14ac:dyDescent="0.25">
      <c r="Q221" s="175"/>
      <c r="R221" s="175"/>
      <c r="S221" s="175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</row>
    <row r="222" spans="17:45" s="54" customFormat="1" x14ac:dyDescent="0.25">
      <c r="Q222" s="175"/>
      <c r="R222" s="175"/>
      <c r="S222" s="175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</row>
    <row r="223" spans="17:45" s="54" customFormat="1" x14ac:dyDescent="0.25">
      <c r="Q223" s="175"/>
      <c r="R223" s="175"/>
      <c r="S223" s="175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</row>
    <row r="224" spans="17:45" s="54" customFormat="1" x14ac:dyDescent="0.25">
      <c r="Q224" s="175"/>
      <c r="R224" s="175"/>
      <c r="S224" s="175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</row>
    <row r="225" spans="17:45" s="54" customFormat="1" x14ac:dyDescent="0.25">
      <c r="Q225" s="175"/>
      <c r="R225" s="175"/>
      <c r="S225" s="175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</row>
    <row r="226" spans="17:45" s="54" customFormat="1" x14ac:dyDescent="0.25">
      <c r="Q226" s="175"/>
      <c r="R226" s="175"/>
      <c r="S226" s="175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</row>
    <row r="227" spans="17:45" s="54" customFormat="1" x14ac:dyDescent="0.25">
      <c r="Q227" s="175"/>
      <c r="R227" s="175"/>
      <c r="S227" s="175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</row>
    <row r="228" spans="17:45" s="54" customFormat="1" x14ac:dyDescent="0.25">
      <c r="Q228" s="175"/>
      <c r="R228" s="175"/>
      <c r="S228" s="175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</row>
    <row r="229" spans="17:45" s="54" customFormat="1" x14ac:dyDescent="0.25">
      <c r="Q229" s="175"/>
      <c r="R229" s="175"/>
      <c r="S229" s="175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</row>
    <row r="230" spans="17:45" s="54" customFormat="1" x14ac:dyDescent="0.25">
      <c r="Q230" s="175"/>
      <c r="R230" s="175"/>
      <c r="S230" s="175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</row>
    <row r="231" spans="17:45" s="54" customFormat="1" x14ac:dyDescent="0.25">
      <c r="Q231" s="175"/>
      <c r="R231" s="175"/>
      <c r="S231" s="175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</row>
    <row r="232" spans="17:45" s="54" customFormat="1" x14ac:dyDescent="0.25">
      <c r="Q232" s="175"/>
      <c r="R232" s="175"/>
      <c r="S232" s="175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</row>
    <row r="233" spans="17:45" s="54" customFormat="1" x14ac:dyDescent="0.25">
      <c r="Q233" s="175"/>
      <c r="R233" s="175"/>
      <c r="S233" s="175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</row>
    <row r="234" spans="17:45" s="54" customFormat="1" x14ac:dyDescent="0.25">
      <c r="Q234" s="175"/>
      <c r="R234" s="175"/>
      <c r="S234" s="175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</row>
    <row r="235" spans="17:45" s="54" customFormat="1" x14ac:dyDescent="0.25">
      <c r="Q235" s="175"/>
      <c r="R235" s="175"/>
      <c r="S235" s="175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</row>
    <row r="236" spans="17:45" s="54" customFormat="1" x14ac:dyDescent="0.25">
      <c r="Q236" s="175"/>
      <c r="R236" s="175"/>
      <c r="S236" s="175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</row>
    <row r="237" spans="17:45" s="54" customFormat="1" x14ac:dyDescent="0.25">
      <c r="Q237" s="175"/>
      <c r="R237" s="175"/>
      <c r="S237" s="175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</row>
    <row r="238" spans="17:45" s="54" customFormat="1" x14ac:dyDescent="0.25">
      <c r="Q238" s="175"/>
      <c r="R238" s="175"/>
      <c r="S238" s="175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</row>
    <row r="239" spans="17:45" s="54" customFormat="1" x14ac:dyDescent="0.25">
      <c r="Q239" s="175"/>
      <c r="R239" s="175"/>
      <c r="S239" s="175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</row>
    <row r="240" spans="17:45" s="54" customFormat="1" x14ac:dyDescent="0.25">
      <c r="Q240" s="175"/>
      <c r="R240" s="175"/>
      <c r="S240" s="175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</row>
    <row r="241" spans="17:45" s="54" customFormat="1" x14ac:dyDescent="0.25">
      <c r="Q241" s="175"/>
      <c r="R241" s="175"/>
      <c r="S241" s="175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</row>
    <row r="242" spans="17:45" s="54" customFormat="1" x14ac:dyDescent="0.25">
      <c r="Q242" s="175"/>
      <c r="R242" s="175"/>
      <c r="S242" s="175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</row>
    <row r="243" spans="17:45" s="54" customFormat="1" x14ac:dyDescent="0.25">
      <c r="Q243" s="175"/>
      <c r="R243" s="175"/>
      <c r="S243" s="175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</row>
    <row r="244" spans="17:45" s="54" customFormat="1" x14ac:dyDescent="0.25">
      <c r="Q244" s="175"/>
      <c r="R244" s="175"/>
      <c r="S244" s="175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</row>
    <row r="245" spans="17:45" s="54" customFormat="1" x14ac:dyDescent="0.25">
      <c r="Q245" s="175"/>
      <c r="R245" s="175"/>
      <c r="S245" s="175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</row>
    <row r="246" spans="17:45" s="54" customFormat="1" x14ac:dyDescent="0.25">
      <c r="Q246" s="175"/>
      <c r="R246" s="175"/>
      <c r="S246" s="175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</row>
    <row r="247" spans="17:45" s="54" customFormat="1" x14ac:dyDescent="0.25">
      <c r="Q247" s="175"/>
      <c r="R247" s="175"/>
      <c r="S247" s="175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</row>
    <row r="248" spans="17:45" s="54" customFormat="1" x14ac:dyDescent="0.25">
      <c r="Q248" s="175"/>
      <c r="R248" s="175"/>
      <c r="S248" s="175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</row>
    <row r="249" spans="17:45" s="54" customFormat="1" x14ac:dyDescent="0.25">
      <c r="Q249" s="175"/>
      <c r="R249" s="175"/>
      <c r="S249" s="175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</row>
    <row r="250" spans="17:45" s="54" customFormat="1" x14ac:dyDescent="0.25">
      <c r="Q250" s="175"/>
      <c r="R250" s="175"/>
      <c r="S250" s="175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</row>
    <row r="251" spans="17:45" s="54" customFormat="1" x14ac:dyDescent="0.25">
      <c r="Q251" s="175"/>
      <c r="R251" s="175"/>
      <c r="S251" s="175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</row>
    <row r="252" spans="17:45" s="54" customFormat="1" x14ac:dyDescent="0.25">
      <c r="Q252" s="175"/>
      <c r="R252" s="175"/>
      <c r="S252" s="175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</row>
    <row r="253" spans="17:45" s="54" customFormat="1" x14ac:dyDescent="0.25">
      <c r="Q253" s="175"/>
      <c r="R253" s="175"/>
      <c r="S253" s="175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</row>
    <row r="254" spans="17:45" s="54" customFormat="1" x14ac:dyDescent="0.25">
      <c r="Q254" s="175"/>
      <c r="R254" s="175"/>
      <c r="S254" s="175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</row>
    <row r="255" spans="17:45" s="54" customFormat="1" x14ac:dyDescent="0.25">
      <c r="Q255" s="175"/>
      <c r="R255" s="175"/>
      <c r="S255" s="175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</row>
    <row r="256" spans="17:45" s="54" customFormat="1" x14ac:dyDescent="0.25">
      <c r="Q256" s="175"/>
      <c r="R256" s="175"/>
      <c r="S256" s="175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</row>
    <row r="257" spans="17:45" s="54" customFormat="1" x14ac:dyDescent="0.25">
      <c r="Q257" s="175"/>
      <c r="R257" s="175"/>
      <c r="S257" s="175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</row>
    <row r="258" spans="17:45" s="54" customFormat="1" x14ac:dyDescent="0.25">
      <c r="Q258" s="175"/>
      <c r="R258" s="175"/>
      <c r="S258" s="175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</row>
    <row r="259" spans="17:45" s="54" customFormat="1" x14ac:dyDescent="0.25">
      <c r="Q259" s="175"/>
      <c r="R259" s="175"/>
      <c r="S259" s="175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</row>
    <row r="260" spans="17:45" s="54" customFormat="1" x14ac:dyDescent="0.25">
      <c r="Q260" s="175"/>
      <c r="R260" s="175"/>
      <c r="S260" s="175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</row>
    <row r="261" spans="17:45" s="54" customFormat="1" x14ac:dyDescent="0.25">
      <c r="Q261" s="175"/>
      <c r="R261" s="175"/>
      <c r="S261" s="175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</row>
    <row r="262" spans="17:45" s="54" customFormat="1" x14ac:dyDescent="0.25">
      <c r="Q262" s="175"/>
      <c r="R262" s="175"/>
      <c r="S262" s="175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</row>
    <row r="263" spans="17:45" s="54" customFormat="1" x14ac:dyDescent="0.25">
      <c r="Q263" s="175"/>
      <c r="R263" s="175"/>
      <c r="S263" s="175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</row>
    <row r="264" spans="17:45" s="54" customFormat="1" x14ac:dyDescent="0.25">
      <c r="Q264" s="175"/>
      <c r="R264" s="175"/>
      <c r="S264" s="175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</row>
    <row r="265" spans="17:45" s="54" customFormat="1" x14ac:dyDescent="0.25">
      <c r="Q265" s="175"/>
      <c r="R265" s="175"/>
      <c r="S265" s="175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</row>
    <row r="266" spans="17:45" s="54" customFormat="1" x14ac:dyDescent="0.25">
      <c r="Q266" s="175"/>
      <c r="R266" s="175"/>
      <c r="S266" s="175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</row>
    <row r="267" spans="17:45" s="54" customFormat="1" x14ac:dyDescent="0.25">
      <c r="Q267" s="175"/>
      <c r="R267" s="175"/>
      <c r="S267" s="175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</row>
    <row r="268" spans="17:45" s="54" customFormat="1" x14ac:dyDescent="0.25">
      <c r="Q268" s="175"/>
      <c r="R268" s="175"/>
      <c r="S268" s="175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</row>
    <row r="269" spans="17:45" s="54" customFormat="1" x14ac:dyDescent="0.25">
      <c r="Q269" s="175"/>
      <c r="R269" s="175"/>
      <c r="S269" s="175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</row>
    <row r="270" spans="17:45" s="54" customFormat="1" x14ac:dyDescent="0.25">
      <c r="Q270" s="175"/>
      <c r="R270" s="175"/>
      <c r="S270" s="175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</row>
    <row r="271" spans="17:45" s="54" customFormat="1" x14ac:dyDescent="0.25">
      <c r="Q271" s="175"/>
      <c r="R271" s="175"/>
      <c r="S271" s="175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</row>
    <row r="272" spans="17:45" s="54" customFormat="1" x14ac:dyDescent="0.25">
      <c r="Q272" s="175"/>
      <c r="R272" s="175"/>
      <c r="S272" s="175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</row>
    <row r="273" spans="17:45" s="54" customFormat="1" x14ac:dyDescent="0.25">
      <c r="Q273" s="175"/>
      <c r="R273" s="175"/>
      <c r="S273" s="175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</row>
    <row r="274" spans="17:45" s="54" customFormat="1" x14ac:dyDescent="0.25">
      <c r="Q274" s="175"/>
      <c r="R274" s="175"/>
      <c r="S274" s="175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</row>
    <row r="275" spans="17:45" s="54" customFormat="1" x14ac:dyDescent="0.25">
      <c r="Q275" s="175"/>
      <c r="R275" s="175"/>
      <c r="S275" s="175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</row>
    <row r="276" spans="17:45" s="54" customFormat="1" x14ac:dyDescent="0.25">
      <c r="Q276" s="175"/>
      <c r="R276" s="175"/>
      <c r="S276" s="175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</row>
    <row r="277" spans="17:45" s="54" customFormat="1" x14ac:dyDescent="0.25">
      <c r="Q277" s="175"/>
      <c r="R277" s="175"/>
      <c r="S277" s="175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</row>
    <row r="278" spans="17:45" s="54" customFormat="1" x14ac:dyDescent="0.25">
      <c r="Q278" s="175"/>
      <c r="R278" s="175"/>
      <c r="S278" s="175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</row>
    <row r="279" spans="17:45" s="54" customFormat="1" x14ac:dyDescent="0.25">
      <c r="Q279" s="175"/>
      <c r="R279" s="175"/>
      <c r="S279" s="175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</row>
    <row r="280" spans="17:45" s="54" customFormat="1" x14ac:dyDescent="0.25">
      <c r="Q280" s="175"/>
      <c r="R280" s="175"/>
      <c r="S280" s="175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</row>
    <row r="281" spans="17:45" s="54" customFormat="1" x14ac:dyDescent="0.25">
      <c r="Q281" s="175"/>
      <c r="R281" s="175"/>
      <c r="S281" s="175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</row>
    <row r="282" spans="17:45" s="54" customFormat="1" x14ac:dyDescent="0.25">
      <c r="Q282" s="175"/>
      <c r="R282" s="175"/>
      <c r="S282" s="175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</row>
    <row r="283" spans="17:45" s="54" customFormat="1" x14ac:dyDescent="0.25">
      <c r="Q283" s="175"/>
      <c r="R283" s="175"/>
      <c r="S283" s="175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</row>
    <row r="284" spans="17:45" s="54" customFormat="1" x14ac:dyDescent="0.25">
      <c r="Q284" s="175"/>
      <c r="R284" s="175"/>
      <c r="S284" s="175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</row>
    <row r="285" spans="17:45" s="54" customFormat="1" x14ac:dyDescent="0.25">
      <c r="Q285" s="175"/>
      <c r="R285" s="175"/>
      <c r="S285" s="175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</row>
    <row r="286" spans="17:45" s="54" customFormat="1" x14ac:dyDescent="0.25">
      <c r="Q286" s="175"/>
      <c r="R286" s="175"/>
      <c r="S286" s="175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</row>
    <row r="287" spans="17:45" s="54" customFormat="1" x14ac:dyDescent="0.25">
      <c r="Q287" s="175"/>
      <c r="R287" s="175"/>
      <c r="S287" s="175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</row>
    <row r="288" spans="17:45" s="54" customFormat="1" x14ac:dyDescent="0.25">
      <c r="Q288" s="175"/>
      <c r="R288" s="175"/>
      <c r="S288" s="175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</row>
    <row r="289" spans="17:45" s="54" customFormat="1" x14ac:dyDescent="0.25">
      <c r="Q289" s="175"/>
      <c r="R289" s="175"/>
      <c r="S289" s="175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</row>
    <row r="290" spans="17:45" s="54" customFormat="1" x14ac:dyDescent="0.25">
      <c r="Q290" s="175"/>
      <c r="R290" s="175"/>
      <c r="S290" s="175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</row>
    <row r="291" spans="17:45" s="54" customFormat="1" x14ac:dyDescent="0.25">
      <c r="Q291" s="175"/>
      <c r="R291" s="175"/>
      <c r="S291" s="175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</row>
    <row r="292" spans="17:45" s="54" customFormat="1" x14ac:dyDescent="0.25">
      <c r="Q292" s="175"/>
      <c r="R292" s="175"/>
      <c r="S292" s="175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</row>
    <row r="293" spans="17:45" s="54" customFormat="1" x14ac:dyDescent="0.25">
      <c r="Q293" s="175"/>
      <c r="R293" s="175"/>
      <c r="S293" s="175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</row>
    <row r="294" spans="17:45" s="54" customFormat="1" x14ac:dyDescent="0.25">
      <c r="Q294" s="175"/>
      <c r="R294" s="175"/>
      <c r="S294" s="175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</row>
    <row r="295" spans="17:45" s="54" customFormat="1" x14ac:dyDescent="0.25">
      <c r="Q295" s="175"/>
      <c r="R295" s="175"/>
      <c r="S295" s="175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</row>
    <row r="296" spans="17:45" s="54" customFormat="1" x14ac:dyDescent="0.25">
      <c r="Q296" s="175"/>
      <c r="R296" s="175"/>
      <c r="S296" s="175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</row>
    <row r="297" spans="17:45" s="54" customFormat="1" x14ac:dyDescent="0.25">
      <c r="Q297" s="175"/>
      <c r="R297" s="175"/>
      <c r="S297" s="175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</row>
    <row r="298" spans="17:45" s="54" customFormat="1" x14ac:dyDescent="0.25">
      <c r="Q298" s="175"/>
      <c r="R298" s="175"/>
      <c r="S298" s="175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</row>
    <row r="299" spans="17:45" s="54" customFormat="1" x14ac:dyDescent="0.25">
      <c r="Q299" s="175"/>
      <c r="R299" s="175"/>
      <c r="S299" s="175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</row>
    <row r="300" spans="17:45" s="54" customFormat="1" x14ac:dyDescent="0.25">
      <c r="Q300" s="175"/>
      <c r="R300" s="175"/>
      <c r="S300" s="175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</row>
    <row r="301" spans="17:45" s="54" customFormat="1" x14ac:dyDescent="0.25">
      <c r="Q301" s="175"/>
      <c r="R301" s="175"/>
      <c r="S301" s="175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</row>
    <row r="302" spans="17:45" s="54" customFormat="1" x14ac:dyDescent="0.25">
      <c r="Q302" s="175"/>
      <c r="R302" s="175"/>
      <c r="S302" s="175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</row>
    <row r="303" spans="17:45" s="54" customFormat="1" x14ac:dyDescent="0.25">
      <c r="Q303" s="175"/>
      <c r="R303" s="175"/>
      <c r="S303" s="175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</row>
    <row r="304" spans="17:45" s="54" customFormat="1" x14ac:dyDescent="0.25">
      <c r="Q304" s="175"/>
      <c r="R304" s="175"/>
      <c r="S304" s="175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</row>
    <row r="305" spans="17:45" s="54" customFormat="1" x14ac:dyDescent="0.25">
      <c r="Q305" s="175"/>
      <c r="R305" s="175"/>
      <c r="S305" s="175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</row>
    <row r="306" spans="17:45" s="54" customFormat="1" x14ac:dyDescent="0.25">
      <c r="Q306" s="175"/>
      <c r="R306" s="175"/>
      <c r="S306" s="175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</row>
    <row r="307" spans="17:45" s="54" customFormat="1" x14ac:dyDescent="0.25">
      <c r="Q307" s="175"/>
      <c r="R307" s="175"/>
      <c r="S307" s="175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</row>
    <row r="308" spans="17:45" s="54" customFormat="1" x14ac:dyDescent="0.25">
      <c r="Q308" s="175"/>
      <c r="R308" s="175"/>
      <c r="S308" s="175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</row>
    <row r="309" spans="17:45" s="54" customFormat="1" x14ac:dyDescent="0.25">
      <c r="Q309" s="175"/>
      <c r="R309" s="175"/>
      <c r="S309" s="175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</row>
    <row r="310" spans="17:45" s="54" customFormat="1" x14ac:dyDescent="0.25">
      <c r="Q310" s="175"/>
      <c r="R310" s="175"/>
      <c r="S310" s="175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</row>
    <row r="311" spans="17:45" s="54" customFormat="1" x14ac:dyDescent="0.25">
      <c r="Q311" s="175"/>
      <c r="R311" s="175"/>
      <c r="S311" s="175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</row>
    <row r="312" spans="17:45" s="54" customFormat="1" x14ac:dyDescent="0.25">
      <c r="Q312" s="175"/>
      <c r="R312" s="175"/>
      <c r="S312" s="175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</row>
    <row r="313" spans="17:45" s="54" customFormat="1" x14ac:dyDescent="0.25">
      <c r="Q313" s="175"/>
      <c r="R313" s="175"/>
      <c r="S313" s="175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</row>
    <row r="314" spans="17:45" s="54" customFormat="1" x14ac:dyDescent="0.25">
      <c r="Q314" s="175"/>
      <c r="R314" s="175"/>
      <c r="S314" s="175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</row>
    <row r="315" spans="17:45" s="54" customFormat="1" x14ac:dyDescent="0.25">
      <c r="Q315" s="175"/>
      <c r="R315" s="175"/>
      <c r="S315" s="175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</row>
    <row r="316" spans="17:45" s="54" customFormat="1" x14ac:dyDescent="0.25">
      <c r="Q316" s="175"/>
      <c r="R316" s="175"/>
      <c r="S316" s="175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</row>
    <row r="317" spans="17:45" s="54" customFormat="1" x14ac:dyDescent="0.25">
      <c r="Q317" s="175"/>
      <c r="R317" s="175"/>
      <c r="S317" s="175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</row>
    <row r="318" spans="17:45" s="54" customFormat="1" x14ac:dyDescent="0.25">
      <c r="Q318" s="175"/>
      <c r="R318" s="175"/>
      <c r="S318" s="175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</row>
    <row r="319" spans="17:45" s="54" customFormat="1" x14ac:dyDescent="0.25">
      <c r="Q319" s="175"/>
      <c r="R319" s="175"/>
      <c r="S319" s="175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</row>
    <row r="320" spans="17:45" s="54" customFormat="1" x14ac:dyDescent="0.25">
      <c r="Q320" s="175"/>
      <c r="R320" s="175"/>
      <c r="S320" s="175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</row>
    <row r="321" spans="17:45" s="54" customFormat="1" x14ac:dyDescent="0.25">
      <c r="Q321" s="175"/>
      <c r="R321" s="175"/>
      <c r="S321" s="175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</row>
    <row r="322" spans="17:45" s="54" customFormat="1" x14ac:dyDescent="0.25">
      <c r="Q322" s="175"/>
      <c r="R322" s="175"/>
      <c r="S322" s="175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</row>
    <row r="323" spans="17:45" s="54" customFormat="1" x14ac:dyDescent="0.25">
      <c r="Q323" s="175"/>
      <c r="R323" s="175"/>
      <c r="S323" s="175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</row>
    <row r="324" spans="17:45" s="54" customFormat="1" x14ac:dyDescent="0.25">
      <c r="Q324" s="175"/>
      <c r="R324" s="175"/>
      <c r="S324" s="175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</row>
    <row r="325" spans="17:45" s="54" customFormat="1" x14ac:dyDescent="0.25">
      <c r="Q325" s="175"/>
      <c r="R325" s="175"/>
      <c r="S325" s="175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</row>
    <row r="326" spans="17:45" s="54" customFormat="1" x14ac:dyDescent="0.25">
      <c r="Q326" s="175"/>
      <c r="R326" s="175"/>
      <c r="S326" s="175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</row>
    <row r="327" spans="17:45" s="54" customFormat="1" x14ac:dyDescent="0.25">
      <c r="Q327" s="175"/>
      <c r="R327" s="175"/>
      <c r="S327" s="175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</row>
    <row r="328" spans="17:45" s="54" customFormat="1" x14ac:dyDescent="0.25">
      <c r="Q328" s="175"/>
      <c r="R328" s="175"/>
      <c r="S328" s="175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</row>
    <row r="329" spans="17:45" s="54" customFormat="1" x14ac:dyDescent="0.25">
      <c r="Q329" s="175"/>
      <c r="R329" s="175"/>
      <c r="S329" s="175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</row>
    <row r="330" spans="17:45" s="54" customFormat="1" x14ac:dyDescent="0.25">
      <c r="Q330" s="175"/>
      <c r="R330" s="175"/>
      <c r="S330" s="175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</row>
    <row r="331" spans="17:45" s="54" customFormat="1" x14ac:dyDescent="0.25">
      <c r="Q331" s="175"/>
      <c r="R331" s="175"/>
      <c r="S331" s="175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</row>
    <row r="332" spans="17:45" s="54" customFormat="1" x14ac:dyDescent="0.25">
      <c r="Q332" s="175"/>
      <c r="R332" s="175"/>
      <c r="S332" s="175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</row>
    <row r="333" spans="17:45" s="54" customFormat="1" x14ac:dyDescent="0.25">
      <c r="Q333" s="175"/>
      <c r="R333" s="175"/>
      <c r="S333" s="175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</row>
    <row r="334" spans="17:45" s="54" customFormat="1" x14ac:dyDescent="0.25">
      <c r="Q334" s="175"/>
      <c r="R334" s="175"/>
      <c r="S334" s="175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</row>
    <row r="335" spans="17:45" s="54" customFormat="1" x14ac:dyDescent="0.25">
      <c r="Q335" s="175"/>
      <c r="R335" s="175"/>
      <c r="S335" s="175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</row>
    <row r="336" spans="17:45" s="54" customFormat="1" x14ac:dyDescent="0.25">
      <c r="Q336" s="175"/>
      <c r="R336" s="175"/>
      <c r="S336" s="175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</row>
    <row r="337" spans="17:45" s="54" customFormat="1" x14ac:dyDescent="0.25">
      <c r="Q337" s="175"/>
      <c r="R337" s="175"/>
      <c r="S337" s="175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</row>
    <row r="338" spans="17:45" s="54" customFormat="1" x14ac:dyDescent="0.25">
      <c r="Q338" s="175"/>
      <c r="R338" s="175"/>
      <c r="S338" s="175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</row>
    <row r="339" spans="17:45" s="54" customFormat="1" x14ac:dyDescent="0.25">
      <c r="Q339" s="175"/>
      <c r="R339" s="175"/>
      <c r="S339" s="175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</row>
    <row r="340" spans="17:45" s="54" customFormat="1" x14ac:dyDescent="0.25">
      <c r="Q340" s="175"/>
      <c r="R340" s="175"/>
      <c r="S340" s="175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</row>
    <row r="341" spans="17:45" s="54" customFormat="1" x14ac:dyDescent="0.25">
      <c r="Q341" s="175"/>
      <c r="R341" s="175"/>
      <c r="S341" s="175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</row>
    <row r="342" spans="17:45" s="54" customFormat="1" x14ac:dyDescent="0.25">
      <c r="Q342" s="175"/>
      <c r="R342" s="175"/>
      <c r="S342" s="175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</row>
    <row r="343" spans="17:45" s="54" customFormat="1" x14ac:dyDescent="0.25">
      <c r="Q343" s="175"/>
      <c r="R343" s="175"/>
      <c r="S343" s="175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</row>
    <row r="344" spans="17:45" s="54" customFormat="1" x14ac:dyDescent="0.25">
      <c r="Q344" s="175"/>
      <c r="R344" s="175"/>
      <c r="S344" s="175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</row>
    <row r="345" spans="17:45" s="54" customFormat="1" x14ac:dyDescent="0.25">
      <c r="Q345" s="175"/>
      <c r="R345" s="175"/>
      <c r="S345" s="175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</row>
    <row r="346" spans="17:45" s="54" customFormat="1" x14ac:dyDescent="0.25">
      <c r="Q346" s="175"/>
      <c r="R346" s="175"/>
      <c r="S346" s="175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</row>
    <row r="347" spans="17:45" s="54" customFormat="1" x14ac:dyDescent="0.25">
      <c r="Q347" s="175"/>
      <c r="R347" s="175"/>
      <c r="S347" s="175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</row>
    <row r="348" spans="17:45" s="54" customFormat="1" x14ac:dyDescent="0.25">
      <c r="Q348" s="175"/>
      <c r="R348" s="175"/>
      <c r="S348" s="175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</row>
    <row r="349" spans="17:45" s="54" customFormat="1" x14ac:dyDescent="0.25">
      <c r="Q349" s="175"/>
      <c r="R349" s="175"/>
      <c r="S349" s="175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</row>
    <row r="350" spans="17:45" s="54" customFormat="1" x14ac:dyDescent="0.25">
      <c r="Q350" s="175"/>
      <c r="R350" s="175"/>
      <c r="S350" s="175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</row>
    <row r="351" spans="17:45" s="54" customFormat="1" x14ac:dyDescent="0.25">
      <c r="Q351" s="175"/>
      <c r="R351" s="175"/>
      <c r="S351" s="175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</row>
    <row r="352" spans="17:45" s="54" customFormat="1" x14ac:dyDescent="0.25">
      <c r="Q352" s="175"/>
      <c r="R352" s="175"/>
      <c r="S352" s="175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</row>
    <row r="353" spans="17:45" s="54" customFormat="1" x14ac:dyDescent="0.25">
      <c r="Q353" s="175"/>
      <c r="R353" s="175"/>
      <c r="S353" s="175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</row>
    <row r="354" spans="17:45" s="54" customFormat="1" x14ac:dyDescent="0.25">
      <c r="Q354" s="175"/>
      <c r="R354" s="175"/>
      <c r="S354" s="175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</row>
    <row r="355" spans="17:45" s="54" customFormat="1" x14ac:dyDescent="0.25">
      <c r="Q355" s="175"/>
      <c r="R355" s="175"/>
      <c r="S355" s="175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</row>
    <row r="356" spans="17:45" s="54" customFormat="1" x14ac:dyDescent="0.25">
      <c r="Q356" s="175"/>
      <c r="R356" s="175"/>
      <c r="S356" s="175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</row>
    <row r="357" spans="17:45" s="54" customFormat="1" x14ac:dyDescent="0.25">
      <c r="Q357" s="175"/>
      <c r="R357" s="175"/>
      <c r="S357" s="175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</row>
    <row r="358" spans="17:45" s="54" customFormat="1" x14ac:dyDescent="0.25">
      <c r="Q358" s="175"/>
      <c r="R358" s="175"/>
      <c r="S358" s="175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</row>
    <row r="359" spans="17:45" s="54" customFormat="1" x14ac:dyDescent="0.25">
      <c r="Q359" s="175"/>
      <c r="R359" s="175"/>
      <c r="S359" s="175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</row>
    <row r="360" spans="17:45" s="54" customFormat="1" x14ac:dyDescent="0.25">
      <c r="Q360" s="175"/>
      <c r="R360" s="175"/>
      <c r="S360" s="175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</row>
    <row r="361" spans="17:45" s="54" customFormat="1" x14ac:dyDescent="0.25">
      <c r="Q361" s="175"/>
      <c r="R361" s="175"/>
      <c r="S361" s="175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</row>
    <row r="362" spans="17:45" s="54" customFormat="1" x14ac:dyDescent="0.25">
      <c r="Q362" s="175"/>
      <c r="R362" s="175"/>
      <c r="S362" s="175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</row>
    <row r="363" spans="17:45" s="54" customFormat="1" x14ac:dyDescent="0.25">
      <c r="Q363" s="175"/>
      <c r="R363" s="175"/>
      <c r="S363" s="175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</row>
    <row r="364" spans="17:45" s="54" customFormat="1" x14ac:dyDescent="0.25">
      <c r="Q364" s="175"/>
      <c r="R364" s="175"/>
      <c r="S364" s="175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</row>
    <row r="365" spans="17:45" s="54" customFormat="1" x14ac:dyDescent="0.25">
      <c r="Q365" s="175"/>
      <c r="R365" s="175"/>
      <c r="S365" s="175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</row>
    <row r="366" spans="17:45" s="54" customFormat="1" x14ac:dyDescent="0.25">
      <c r="Q366" s="175"/>
      <c r="R366" s="175"/>
      <c r="S366" s="175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</row>
    <row r="367" spans="17:45" s="54" customFormat="1" x14ac:dyDescent="0.25">
      <c r="Q367" s="175"/>
      <c r="R367" s="175"/>
      <c r="S367" s="175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</row>
    <row r="368" spans="17:45" s="54" customFormat="1" x14ac:dyDescent="0.25">
      <c r="Q368" s="175"/>
      <c r="R368" s="175"/>
      <c r="S368" s="175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</row>
    <row r="369" spans="17:45" s="54" customFormat="1" x14ac:dyDescent="0.25">
      <c r="Q369" s="175"/>
      <c r="R369" s="175"/>
      <c r="S369" s="175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</row>
    <row r="370" spans="17:45" s="54" customFormat="1" x14ac:dyDescent="0.25">
      <c r="Q370" s="175"/>
      <c r="R370" s="175"/>
      <c r="S370" s="175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</row>
    <row r="371" spans="17:45" s="54" customFormat="1" x14ac:dyDescent="0.25">
      <c r="Q371" s="175"/>
      <c r="R371" s="175"/>
      <c r="S371" s="175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</row>
    <row r="372" spans="17:45" s="54" customFormat="1" x14ac:dyDescent="0.25">
      <c r="Q372" s="175"/>
      <c r="R372" s="175"/>
      <c r="S372" s="175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</row>
    <row r="373" spans="17:45" s="54" customFormat="1" x14ac:dyDescent="0.25">
      <c r="Q373" s="175"/>
      <c r="R373" s="175"/>
      <c r="S373" s="175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</row>
    <row r="374" spans="17:45" s="54" customFormat="1" x14ac:dyDescent="0.25">
      <c r="Q374" s="175"/>
      <c r="R374" s="175"/>
      <c r="S374" s="175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</row>
    <row r="375" spans="17:45" s="54" customFormat="1" x14ac:dyDescent="0.25">
      <c r="Q375" s="175"/>
      <c r="R375" s="175"/>
      <c r="S375" s="175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</row>
    <row r="376" spans="17:45" s="54" customFormat="1" x14ac:dyDescent="0.25">
      <c r="Q376" s="175"/>
      <c r="R376" s="175"/>
      <c r="S376" s="175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</row>
    <row r="377" spans="17:45" s="54" customFormat="1" x14ac:dyDescent="0.25">
      <c r="Q377" s="175"/>
      <c r="R377" s="175"/>
      <c r="S377" s="175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</row>
    <row r="378" spans="17:45" s="54" customFormat="1" x14ac:dyDescent="0.25">
      <c r="Q378" s="175"/>
      <c r="R378" s="175"/>
      <c r="S378" s="175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</row>
    <row r="379" spans="17:45" s="54" customFormat="1" x14ac:dyDescent="0.25">
      <c r="Q379" s="175"/>
      <c r="R379" s="175"/>
      <c r="S379" s="175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</row>
    <row r="380" spans="17:45" s="54" customFormat="1" x14ac:dyDescent="0.25">
      <c r="Q380" s="175"/>
      <c r="R380" s="175"/>
      <c r="S380" s="175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</row>
    <row r="381" spans="17:45" s="54" customFormat="1" x14ac:dyDescent="0.25">
      <c r="Q381" s="175"/>
      <c r="R381" s="175"/>
      <c r="S381" s="175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</row>
    <row r="382" spans="17:45" s="54" customFormat="1" x14ac:dyDescent="0.25">
      <c r="Q382" s="175"/>
      <c r="R382" s="175"/>
      <c r="S382" s="175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</row>
    <row r="383" spans="17:45" s="54" customFormat="1" x14ac:dyDescent="0.25">
      <c r="Q383" s="175"/>
      <c r="R383" s="175"/>
      <c r="S383" s="175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</row>
    <row r="384" spans="17:45" s="54" customFormat="1" x14ac:dyDescent="0.25">
      <c r="Q384" s="175"/>
      <c r="R384" s="175"/>
      <c r="S384" s="175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</row>
    <row r="385" spans="17:45" s="54" customFormat="1" x14ac:dyDescent="0.25">
      <c r="Q385" s="175"/>
      <c r="R385" s="175"/>
      <c r="S385" s="175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</row>
    <row r="386" spans="17:45" s="54" customFormat="1" x14ac:dyDescent="0.25">
      <c r="Q386" s="175"/>
      <c r="R386" s="175"/>
      <c r="S386" s="175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</row>
    <row r="387" spans="17:45" s="54" customFormat="1" x14ac:dyDescent="0.25">
      <c r="Q387" s="175"/>
      <c r="R387" s="175"/>
      <c r="S387" s="175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</row>
    <row r="388" spans="17:45" s="54" customFormat="1" x14ac:dyDescent="0.25">
      <c r="Q388" s="175"/>
      <c r="R388" s="175"/>
      <c r="S388" s="175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</row>
    <row r="389" spans="17:45" s="54" customFormat="1" x14ac:dyDescent="0.25">
      <c r="Q389" s="175"/>
      <c r="R389" s="175"/>
      <c r="S389" s="175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</row>
    <row r="390" spans="17:45" s="54" customFormat="1" x14ac:dyDescent="0.25">
      <c r="Q390" s="175"/>
      <c r="R390" s="175"/>
      <c r="S390" s="175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</row>
    <row r="391" spans="17:45" s="54" customFormat="1" x14ac:dyDescent="0.25">
      <c r="Q391" s="175"/>
      <c r="R391" s="175"/>
      <c r="S391" s="175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</row>
    <row r="392" spans="17:45" s="54" customFormat="1" x14ac:dyDescent="0.25">
      <c r="Q392" s="175"/>
      <c r="R392" s="175"/>
      <c r="S392" s="175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</row>
    <row r="393" spans="17:45" s="54" customFormat="1" x14ac:dyDescent="0.25">
      <c r="Q393" s="175"/>
      <c r="R393" s="175"/>
      <c r="S393" s="175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</row>
    <row r="394" spans="17:45" s="54" customFormat="1" x14ac:dyDescent="0.25">
      <c r="Q394" s="175"/>
      <c r="R394" s="175"/>
      <c r="S394" s="175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</row>
    <row r="395" spans="17:45" s="54" customFormat="1" x14ac:dyDescent="0.25">
      <c r="Q395" s="175"/>
      <c r="R395" s="175"/>
      <c r="S395" s="175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</row>
    <row r="396" spans="17:45" s="54" customFormat="1" x14ac:dyDescent="0.25">
      <c r="Q396" s="175"/>
      <c r="R396" s="175"/>
      <c r="S396" s="175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</row>
    <row r="397" spans="17:45" s="54" customFormat="1" x14ac:dyDescent="0.25">
      <c r="Q397" s="175"/>
      <c r="R397" s="175"/>
      <c r="S397" s="175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</row>
    <row r="398" spans="17:45" s="54" customFormat="1" x14ac:dyDescent="0.25">
      <c r="Q398" s="175"/>
      <c r="R398" s="175"/>
      <c r="S398" s="175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</row>
    <row r="399" spans="17:45" s="54" customFormat="1" x14ac:dyDescent="0.25">
      <c r="Q399" s="175"/>
      <c r="R399" s="175"/>
      <c r="S399" s="175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</row>
    <row r="400" spans="17:45" s="54" customFormat="1" x14ac:dyDescent="0.25">
      <c r="Q400" s="175"/>
      <c r="R400" s="175"/>
      <c r="S400" s="175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</row>
    <row r="401" spans="17:45" s="54" customFormat="1" x14ac:dyDescent="0.25">
      <c r="Q401" s="175"/>
      <c r="R401" s="175"/>
      <c r="S401" s="175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</row>
    <row r="402" spans="17:45" s="54" customFormat="1" x14ac:dyDescent="0.25">
      <c r="Q402" s="175"/>
      <c r="R402" s="175"/>
      <c r="S402" s="175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</row>
    <row r="403" spans="17:45" s="54" customFormat="1" x14ac:dyDescent="0.25">
      <c r="Q403" s="175"/>
      <c r="R403" s="175"/>
      <c r="S403" s="175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</row>
    <row r="404" spans="17:45" s="54" customFormat="1" x14ac:dyDescent="0.25">
      <c r="Q404" s="175"/>
      <c r="R404" s="175"/>
      <c r="S404" s="175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</row>
    <row r="405" spans="17:45" s="54" customFormat="1" x14ac:dyDescent="0.25">
      <c r="Q405" s="175"/>
      <c r="R405" s="175"/>
      <c r="S405" s="175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</row>
    <row r="406" spans="17:45" s="54" customFormat="1" x14ac:dyDescent="0.25">
      <c r="Q406" s="175"/>
      <c r="R406" s="175"/>
      <c r="S406" s="175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</row>
    <row r="407" spans="17:45" s="54" customFormat="1" x14ac:dyDescent="0.25">
      <c r="Q407" s="175"/>
      <c r="R407" s="175"/>
      <c r="S407" s="175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</row>
    <row r="408" spans="17:45" s="54" customFormat="1" x14ac:dyDescent="0.25">
      <c r="Q408" s="175"/>
      <c r="R408" s="175"/>
      <c r="S408" s="175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</row>
    <row r="409" spans="17:45" s="54" customFormat="1" x14ac:dyDescent="0.25">
      <c r="Q409" s="175"/>
      <c r="R409" s="175"/>
      <c r="S409" s="175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</row>
    <row r="410" spans="17:45" s="54" customFormat="1" x14ac:dyDescent="0.25">
      <c r="Q410" s="175"/>
      <c r="R410" s="175"/>
      <c r="S410" s="175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</row>
    <row r="411" spans="17:45" s="54" customFormat="1" x14ac:dyDescent="0.25">
      <c r="Q411" s="175"/>
      <c r="R411" s="175"/>
      <c r="S411" s="175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</row>
    <row r="412" spans="17:45" s="54" customFormat="1" x14ac:dyDescent="0.25">
      <c r="Q412" s="175"/>
      <c r="R412" s="175"/>
      <c r="S412" s="175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</row>
    <row r="413" spans="17:45" s="54" customFormat="1" x14ac:dyDescent="0.25">
      <c r="Q413" s="175"/>
      <c r="R413" s="175"/>
      <c r="S413" s="175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</row>
    <row r="414" spans="17:45" s="54" customFormat="1" x14ac:dyDescent="0.25">
      <c r="Q414" s="175"/>
      <c r="R414" s="175"/>
      <c r="S414" s="175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</row>
    <row r="415" spans="17:45" s="54" customFormat="1" x14ac:dyDescent="0.25">
      <c r="Q415" s="175"/>
      <c r="R415" s="175"/>
      <c r="S415" s="175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</row>
    <row r="416" spans="17:45" s="54" customFormat="1" x14ac:dyDescent="0.25">
      <c r="Q416" s="175"/>
      <c r="R416" s="175"/>
      <c r="S416" s="175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</row>
    <row r="417" spans="17:45" s="54" customFormat="1" x14ac:dyDescent="0.25">
      <c r="Q417" s="175"/>
      <c r="R417" s="175"/>
      <c r="S417" s="175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</row>
    <row r="418" spans="17:45" s="54" customFormat="1" x14ac:dyDescent="0.25">
      <c r="Q418" s="175"/>
      <c r="R418" s="175"/>
      <c r="S418" s="175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</row>
    <row r="419" spans="17:45" s="54" customFormat="1" x14ac:dyDescent="0.25">
      <c r="Q419" s="175"/>
      <c r="R419" s="175"/>
      <c r="S419" s="175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</row>
    <row r="420" spans="17:45" s="54" customFormat="1" x14ac:dyDescent="0.25">
      <c r="Q420" s="175"/>
      <c r="R420" s="175"/>
      <c r="S420" s="175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</row>
    <row r="421" spans="17:45" s="54" customFormat="1" x14ac:dyDescent="0.25">
      <c r="Q421" s="175"/>
      <c r="R421" s="175"/>
      <c r="S421" s="175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</row>
    <row r="422" spans="17:45" s="54" customFormat="1" x14ac:dyDescent="0.25">
      <c r="Q422" s="175"/>
      <c r="R422" s="175"/>
      <c r="S422" s="175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</row>
    <row r="423" spans="17:45" s="54" customFormat="1" x14ac:dyDescent="0.25">
      <c r="Q423" s="175"/>
      <c r="R423" s="175"/>
      <c r="S423" s="175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</row>
    <row r="424" spans="17:45" s="54" customFormat="1" x14ac:dyDescent="0.25">
      <c r="Q424" s="175"/>
      <c r="R424" s="175"/>
      <c r="S424" s="175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</row>
    <row r="425" spans="17:45" s="54" customFormat="1" x14ac:dyDescent="0.25">
      <c r="Q425" s="175"/>
      <c r="R425" s="175"/>
      <c r="S425" s="175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</row>
    <row r="426" spans="17:45" s="54" customFormat="1" x14ac:dyDescent="0.25">
      <c r="Q426" s="175"/>
      <c r="R426" s="175"/>
      <c r="S426" s="175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</row>
    <row r="427" spans="17:45" s="54" customFormat="1" x14ac:dyDescent="0.25">
      <c r="Q427" s="175"/>
      <c r="R427" s="175"/>
      <c r="S427" s="175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</row>
    <row r="428" spans="17:45" s="54" customFormat="1" x14ac:dyDescent="0.25">
      <c r="Q428" s="175"/>
      <c r="R428" s="175"/>
      <c r="S428" s="175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</row>
    <row r="429" spans="17:45" s="54" customFormat="1" x14ac:dyDescent="0.25">
      <c r="Q429" s="175"/>
      <c r="R429" s="175"/>
      <c r="S429" s="175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</row>
    <row r="430" spans="17:45" s="54" customFormat="1" x14ac:dyDescent="0.25">
      <c r="Q430" s="175"/>
      <c r="R430" s="175"/>
      <c r="S430" s="175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</row>
    <row r="431" spans="17:45" s="54" customFormat="1" x14ac:dyDescent="0.25">
      <c r="Q431" s="175"/>
      <c r="R431" s="175"/>
      <c r="S431" s="175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</row>
    <row r="432" spans="17:45" s="54" customFormat="1" x14ac:dyDescent="0.25">
      <c r="Q432" s="175"/>
      <c r="R432" s="175"/>
      <c r="S432" s="175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</row>
    <row r="433" spans="17:45" s="54" customFormat="1" x14ac:dyDescent="0.25">
      <c r="Q433" s="175"/>
      <c r="R433" s="175"/>
      <c r="S433" s="175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</row>
  </sheetData>
  <autoFilter ref="A14:BN27" xr:uid="{92C95985-F253-4C23-9EA0-AFC393028D2A}"/>
  <mergeCells count="15">
    <mergeCell ref="Q13:S13"/>
    <mergeCell ref="D30:H30"/>
    <mergeCell ref="L30:O30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  <mergeCell ref="L13:P13"/>
  </mergeCells>
  <conditionalFormatting sqref="C15">
    <cfRule type="expression" priority="5" stopIfTrue="1">
      <formula>#REF!</formula>
    </cfRule>
  </conditionalFormatting>
  <conditionalFormatting sqref="C19">
    <cfRule type="expression" priority="2" stopIfTrue="1">
      <formula>#REF!</formula>
    </cfRule>
  </conditionalFormatting>
  <conditionalFormatting sqref="C22">
    <cfRule type="expression" priority="1" stopIfTrue="1">
      <formula>#REF!</formula>
    </cfRule>
  </conditionalFormatting>
  <conditionalFormatting sqref="C26">
    <cfRule type="expression" priority="3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F69A8-1253-49EC-9249-AB3A99C9A9DE}">
  <sheetPr>
    <tabColor rgb="FF00B050"/>
    <pageSetUpPr fitToPage="1"/>
  </sheetPr>
  <dimension ref="A1:BN466"/>
  <sheetViews>
    <sheetView showZeros="0" topLeftCell="A46" zoomScale="90" zoomScaleNormal="90" workbookViewId="0">
      <selection activeCell="G27" sqref="G27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7" width="8.28515625" style="4" customWidth="1"/>
    <col min="8" max="15" width="10.7109375" style="4" customWidth="1"/>
    <col min="16" max="16" width="13.28515625" style="4" customWidth="1"/>
    <col min="17" max="19" width="5.7109375" style="195" customWidth="1" outlineLevel="1"/>
    <col min="20" max="22" width="10.7109375" style="90" customWidth="1" outlineLevel="1"/>
    <col min="23" max="45" width="10.7109375" style="90" customWidth="1"/>
    <col min="46" max="66" width="8.85546875" style="54"/>
    <col min="67" max="16384" width="8.85546875" style="4"/>
  </cols>
  <sheetData>
    <row r="1" spans="1:19" ht="15" x14ac:dyDescent="0.2">
      <c r="A1" s="408" t="s">
        <v>382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19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9" ht="15" x14ac:dyDescent="0.2">
      <c r="A3" s="409" t="str">
        <f>Kopsavilkums!C36</f>
        <v>Teritorijas labiekārtošana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4" spans="1:19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</row>
    <row r="5" spans="1:19" x14ac:dyDescent="0.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19" x14ac:dyDescent="0.2">
      <c r="A6" s="1" t="s">
        <v>64</v>
      </c>
      <c r="B6" s="8"/>
      <c r="C6" s="9"/>
      <c r="D6" s="10"/>
      <c r="E6" s="5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</row>
    <row r="7" spans="1:19" x14ac:dyDescent="0.2">
      <c r="A7" s="1" t="s">
        <v>65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19" x14ac:dyDescent="0.2">
      <c r="A8" s="2" t="s">
        <v>66</v>
      </c>
      <c r="B8" s="8"/>
      <c r="C8" s="12"/>
      <c r="D8" s="10"/>
      <c r="E8" s="5"/>
      <c r="F8" s="10"/>
      <c r="G8" s="10"/>
      <c r="H8" s="11"/>
      <c r="I8" s="13"/>
      <c r="J8" s="11"/>
      <c r="K8" s="11"/>
      <c r="L8" s="11"/>
      <c r="M8" s="11"/>
      <c r="N8" s="11"/>
      <c r="O8" s="11"/>
      <c r="P8" s="11"/>
    </row>
    <row r="9" spans="1:19" x14ac:dyDescent="0.2">
      <c r="A9" s="1" t="s">
        <v>54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0</v>
      </c>
      <c r="P9" s="18">
        <f>P60</f>
        <v>0</v>
      </c>
    </row>
    <row r="10" spans="1:19" ht="4.9000000000000004" customHeight="1" x14ac:dyDescent="0.2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19" x14ac:dyDescent="0.2">
      <c r="A11" s="107" t="s">
        <v>67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 xml:space="preserve">Tāme sastādīta: </v>
      </c>
    </row>
    <row r="12" spans="1:19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19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</v>
      </c>
      <c r="E13" s="418" t="s">
        <v>5</v>
      </c>
      <c r="F13" s="412" t="s">
        <v>6</v>
      </c>
      <c r="G13" s="420" t="s">
        <v>19</v>
      </c>
      <c r="H13" s="404" t="s">
        <v>7</v>
      </c>
      <c r="I13" s="405"/>
      <c r="J13" s="405"/>
      <c r="K13" s="406"/>
      <c r="L13" s="405" t="s">
        <v>8</v>
      </c>
      <c r="M13" s="405"/>
      <c r="N13" s="405"/>
      <c r="O13" s="405"/>
      <c r="P13" s="406"/>
      <c r="Q13" s="403"/>
      <c r="R13" s="403"/>
      <c r="S13" s="403"/>
    </row>
    <row r="14" spans="1:19" ht="34.9" customHeight="1" thickBot="1" x14ac:dyDescent="0.25">
      <c r="A14" s="422"/>
      <c r="B14" s="423"/>
      <c r="C14" s="423"/>
      <c r="D14" s="424"/>
      <c r="E14" s="425"/>
      <c r="F14" s="413"/>
      <c r="G14" s="421"/>
      <c r="H14" s="56" t="s">
        <v>17</v>
      </c>
      <c r="I14" s="60" t="s">
        <v>16</v>
      </c>
      <c r="J14" s="57" t="s">
        <v>15</v>
      </c>
      <c r="K14" s="58" t="s">
        <v>18</v>
      </c>
      <c r="L14" s="58" t="s">
        <v>9</v>
      </c>
      <c r="M14" s="56" t="s">
        <v>17</v>
      </c>
      <c r="N14" s="60" t="s">
        <v>16</v>
      </c>
      <c r="O14" s="57" t="s">
        <v>15</v>
      </c>
      <c r="P14" s="59" t="s">
        <v>14</v>
      </c>
      <c r="Q14" s="196"/>
      <c r="R14" s="196"/>
      <c r="S14" s="196"/>
    </row>
    <row r="15" spans="1:19" ht="13.15" customHeight="1" x14ac:dyDescent="0.2">
      <c r="A15" s="346"/>
      <c r="B15" s="281"/>
      <c r="C15" s="177" t="str">
        <f>A3</f>
        <v>Teritorijas labiekārtošana</v>
      </c>
      <c r="D15" s="282"/>
      <c r="E15" s="283"/>
      <c r="F15" s="26"/>
      <c r="G15" s="61"/>
      <c r="H15" s="221"/>
      <c r="I15" s="222"/>
      <c r="J15" s="222"/>
      <c r="K15" s="25"/>
      <c r="L15" s="25"/>
      <c r="M15" s="26"/>
      <c r="N15" s="27"/>
      <c r="O15" s="28"/>
      <c r="P15" s="29"/>
    </row>
    <row r="16" spans="1:19" x14ac:dyDescent="0.2">
      <c r="A16" s="284"/>
      <c r="B16" s="285"/>
      <c r="C16" s="178" t="s">
        <v>372</v>
      </c>
      <c r="D16" s="178" t="s">
        <v>43</v>
      </c>
      <c r="E16" s="183">
        <v>1140.8</v>
      </c>
      <c r="F16" s="26"/>
      <c r="G16" s="61"/>
      <c r="H16" s="221"/>
      <c r="I16" s="222"/>
      <c r="J16" s="222"/>
      <c r="K16" s="25"/>
      <c r="L16" s="25"/>
      <c r="M16" s="26"/>
      <c r="N16" s="27"/>
      <c r="O16" s="28"/>
      <c r="P16" s="29"/>
    </row>
    <row r="17" spans="1:16" ht="22.5" x14ac:dyDescent="0.2">
      <c r="A17" s="284">
        <v>1</v>
      </c>
      <c r="B17" s="124"/>
      <c r="C17" s="231" t="s">
        <v>654</v>
      </c>
      <c r="D17" s="232" t="s">
        <v>43</v>
      </c>
      <c r="E17" s="183">
        <f>E16</f>
        <v>1140.8</v>
      </c>
      <c r="F17" s="26"/>
      <c r="G17" s="61"/>
      <c r="H17" s="221"/>
      <c r="I17" s="222"/>
      <c r="J17" s="222"/>
      <c r="K17" s="25"/>
      <c r="L17" s="25"/>
      <c r="M17" s="26"/>
      <c r="N17" s="27"/>
      <c r="O17" s="28"/>
      <c r="P17" s="29"/>
    </row>
    <row r="18" spans="1:16" x14ac:dyDescent="0.2">
      <c r="A18" s="284">
        <v>2</v>
      </c>
      <c r="B18" s="124"/>
      <c r="C18" s="206" t="s">
        <v>373</v>
      </c>
      <c r="D18" s="180" t="s">
        <v>42</v>
      </c>
      <c r="E18" s="183">
        <f>ROUND(E17*0.55,1)</f>
        <v>627.4</v>
      </c>
      <c r="F18" s="26"/>
      <c r="G18" s="61"/>
      <c r="H18" s="221"/>
      <c r="I18" s="222"/>
      <c r="J18" s="222"/>
      <c r="K18" s="25"/>
      <c r="L18" s="25"/>
      <c r="M18" s="26"/>
      <c r="N18" s="27"/>
      <c r="O18" s="28"/>
      <c r="P18" s="29"/>
    </row>
    <row r="19" spans="1:16" ht="33.75" x14ac:dyDescent="0.2">
      <c r="A19" s="284">
        <v>3</v>
      </c>
      <c r="B19" s="124"/>
      <c r="C19" s="231" t="s">
        <v>655</v>
      </c>
      <c r="D19" s="180" t="s">
        <v>42</v>
      </c>
      <c r="E19" s="183">
        <f>E18</f>
        <v>627.4</v>
      </c>
      <c r="F19" s="26"/>
      <c r="G19" s="61"/>
      <c r="H19" s="221"/>
      <c r="I19" s="222"/>
      <c r="J19" s="222"/>
      <c r="K19" s="25"/>
      <c r="L19" s="25"/>
      <c r="M19" s="26"/>
      <c r="N19" s="27"/>
      <c r="O19" s="28"/>
      <c r="P19" s="29"/>
    </row>
    <row r="20" spans="1:16" ht="22.5" x14ac:dyDescent="0.2">
      <c r="A20" s="338">
        <v>4</v>
      </c>
      <c r="B20" s="125"/>
      <c r="C20" s="206" t="s">
        <v>660</v>
      </c>
      <c r="D20" s="180" t="s">
        <v>43</v>
      </c>
      <c r="E20" s="181">
        <f>E17</f>
        <v>1140.8</v>
      </c>
      <c r="F20" s="26"/>
      <c r="G20" s="61"/>
      <c r="H20" s="221"/>
      <c r="I20" s="222"/>
      <c r="J20" s="222"/>
      <c r="K20" s="25"/>
      <c r="L20" s="25"/>
      <c r="M20" s="26"/>
      <c r="N20" s="27"/>
      <c r="O20" s="28"/>
      <c r="P20" s="29"/>
    </row>
    <row r="21" spans="1:16" x14ac:dyDescent="0.2">
      <c r="A21" s="338"/>
      <c r="B21" s="125"/>
      <c r="C21" s="185" t="s">
        <v>375</v>
      </c>
      <c r="D21" s="180" t="s">
        <v>42</v>
      </c>
      <c r="E21" s="181">
        <f>ROUND(E20*0.4*1.25,1)</f>
        <v>570.4</v>
      </c>
      <c r="F21" s="26"/>
      <c r="G21" s="61"/>
      <c r="H21" s="221"/>
      <c r="I21" s="222"/>
      <c r="J21" s="222"/>
      <c r="K21" s="25"/>
      <c r="L21" s="25"/>
      <c r="M21" s="26"/>
      <c r="N21" s="27"/>
      <c r="O21" s="28"/>
      <c r="P21" s="29"/>
    </row>
    <row r="22" spans="1:16" x14ac:dyDescent="0.2">
      <c r="A22" s="284">
        <v>5</v>
      </c>
      <c r="B22" s="124"/>
      <c r="C22" s="206" t="s">
        <v>379</v>
      </c>
      <c r="D22" s="180" t="s">
        <v>43</v>
      </c>
      <c r="E22" s="181">
        <f>E20</f>
        <v>1140.8</v>
      </c>
      <c r="F22" s="26"/>
      <c r="G22" s="61"/>
      <c r="H22" s="221"/>
      <c r="I22" s="222"/>
      <c r="J22" s="222"/>
      <c r="K22" s="25"/>
      <c r="L22" s="25"/>
      <c r="M22" s="26"/>
      <c r="N22" s="27"/>
      <c r="O22" s="28"/>
      <c r="P22" s="29"/>
    </row>
    <row r="23" spans="1:16" ht="22.5" x14ac:dyDescent="0.2">
      <c r="A23" s="284"/>
      <c r="B23" s="124"/>
      <c r="C23" s="185" t="s">
        <v>380</v>
      </c>
      <c r="D23" s="180" t="s">
        <v>43</v>
      </c>
      <c r="E23" s="181">
        <f>ROUND(E22*1.2,2)</f>
        <v>1368.96</v>
      </c>
      <c r="F23" s="26"/>
      <c r="G23" s="61"/>
      <c r="H23" s="221"/>
      <c r="I23" s="222"/>
      <c r="J23" s="222"/>
      <c r="K23" s="25"/>
      <c r="L23" s="25"/>
      <c r="M23" s="26"/>
      <c r="N23" s="27"/>
      <c r="O23" s="28"/>
      <c r="P23" s="29"/>
    </row>
    <row r="24" spans="1:16" ht="22.5" x14ac:dyDescent="0.2">
      <c r="A24" s="284">
        <v>6</v>
      </c>
      <c r="B24" s="124"/>
      <c r="C24" s="179" t="s">
        <v>502</v>
      </c>
      <c r="D24" s="180" t="s">
        <v>43</v>
      </c>
      <c r="E24" s="183">
        <f>E22</f>
        <v>1140.8</v>
      </c>
      <c r="F24" s="26"/>
      <c r="G24" s="61"/>
      <c r="H24" s="221"/>
      <c r="I24" s="222"/>
      <c r="J24" s="222"/>
      <c r="K24" s="25"/>
      <c r="L24" s="25"/>
      <c r="M24" s="26"/>
      <c r="N24" s="27"/>
      <c r="O24" s="28"/>
      <c r="P24" s="29"/>
    </row>
    <row r="25" spans="1:16" x14ac:dyDescent="0.2">
      <c r="A25" s="284"/>
      <c r="B25" s="124"/>
      <c r="C25" s="185" t="s">
        <v>381</v>
      </c>
      <c r="D25" s="180" t="s">
        <v>42</v>
      </c>
      <c r="E25" s="183">
        <f>ROUND(E24*0.15*1.2,2)</f>
        <v>205.34</v>
      </c>
      <c r="F25" s="26"/>
      <c r="G25" s="61"/>
      <c r="H25" s="221"/>
      <c r="I25" s="222"/>
      <c r="J25" s="222"/>
      <c r="K25" s="25"/>
      <c r="L25" s="25"/>
      <c r="M25" s="26"/>
      <c r="N25" s="27"/>
      <c r="O25" s="28"/>
      <c r="P25" s="29"/>
    </row>
    <row r="26" spans="1:16" x14ac:dyDescent="0.2">
      <c r="A26" s="284"/>
      <c r="B26" s="124"/>
      <c r="C26" s="178" t="s">
        <v>376</v>
      </c>
      <c r="D26" s="178" t="s">
        <v>43</v>
      </c>
      <c r="E26" s="191">
        <v>305</v>
      </c>
      <c r="F26" s="26"/>
      <c r="G26" s="61"/>
      <c r="H26" s="221"/>
      <c r="I26" s="222"/>
      <c r="J26" s="222"/>
      <c r="K26" s="25"/>
      <c r="L26" s="25"/>
      <c r="M26" s="26"/>
      <c r="N26" s="27"/>
      <c r="O26" s="28"/>
      <c r="P26" s="29"/>
    </row>
    <row r="27" spans="1:16" ht="33.75" x14ac:dyDescent="0.2">
      <c r="A27" s="284">
        <v>7</v>
      </c>
      <c r="B27" s="124"/>
      <c r="C27" s="238" t="s">
        <v>377</v>
      </c>
      <c r="D27" s="209" t="s">
        <v>43</v>
      </c>
      <c r="E27" s="286">
        <f>E26</f>
        <v>305</v>
      </c>
      <c r="F27" s="26"/>
      <c r="G27" s="61"/>
      <c r="H27" s="221"/>
      <c r="I27" s="222"/>
      <c r="J27" s="222"/>
      <c r="K27" s="25"/>
      <c r="L27" s="25"/>
      <c r="M27" s="26"/>
      <c r="N27" s="27"/>
      <c r="O27" s="28"/>
      <c r="P27" s="29"/>
    </row>
    <row r="28" spans="1:16" x14ac:dyDescent="0.2">
      <c r="A28" s="284"/>
      <c r="B28" s="124"/>
      <c r="C28" s="185" t="s">
        <v>661</v>
      </c>
      <c r="D28" s="180" t="s">
        <v>42</v>
      </c>
      <c r="E28" s="183">
        <f>ROUND(E27*0.1*1.2,2)</f>
        <v>36.6</v>
      </c>
      <c r="F28" s="26"/>
      <c r="G28" s="61"/>
      <c r="H28" s="221"/>
      <c r="I28" s="222"/>
      <c r="J28" s="222"/>
      <c r="K28" s="25"/>
      <c r="L28" s="25"/>
      <c r="M28" s="26"/>
      <c r="N28" s="27"/>
      <c r="O28" s="28"/>
      <c r="P28" s="29"/>
    </row>
    <row r="29" spans="1:16" x14ac:dyDescent="0.2">
      <c r="A29" s="284"/>
      <c r="B29" s="124"/>
      <c r="C29" s="239" t="s">
        <v>378</v>
      </c>
      <c r="D29" s="209" t="s">
        <v>50</v>
      </c>
      <c r="E29" s="286">
        <f>ROUND(E27*0.1,2)</f>
        <v>30.5</v>
      </c>
      <c r="F29" s="26"/>
      <c r="G29" s="61"/>
      <c r="H29" s="221"/>
      <c r="I29" s="222"/>
      <c r="J29" s="222"/>
      <c r="K29" s="25"/>
      <c r="L29" s="25"/>
      <c r="M29" s="26"/>
      <c r="N29" s="27"/>
      <c r="O29" s="28"/>
      <c r="P29" s="29"/>
    </row>
    <row r="30" spans="1:16" ht="25.5" x14ac:dyDescent="0.2">
      <c r="A30" s="334"/>
      <c r="B30" s="186"/>
      <c r="C30" s="235" t="s">
        <v>722</v>
      </c>
      <c r="D30" s="188" t="s">
        <v>43</v>
      </c>
      <c r="E30" s="189">
        <v>3</v>
      </c>
      <c r="F30" s="26"/>
      <c r="G30" s="61"/>
      <c r="H30" s="221"/>
      <c r="I30" s="222"/>
      <c r="J30" s="222"/>
      <c r="K30" s="25"/>
      <c r="L30" s="25"/>
      <c r="M30" s="26"/>
      <c r="N30" s="27"/>
      <c r="O30" s="28"/>
      <c r="P30" s="29"/>
    </row>
    <row r="31" spans="1:16" ht="22.5" x14ac:dyDescent="0.2">
      <c r="A31" s="284">
        <v>8</v>
      </c>
      <c r="B31" s="182"/>
      <c r="C31" s="179" t="s">
        <v>502</v>
      </c>
      <c r="D31" s="180" t="s">
        <v>43</v>
      </c>
      <c r="E31" s="183">
        <f>ROUND(E30*1.2,1)</f>
        <v>3.6</v>
      </c>
      <c r="F31" s="26"/>
      <c r="G31" s="61"/>
      <c r="H31" s="221"/>
      <c r="I31" s="222"/>
      <c r="J31" s="222"/>
      <c r="K31" s="25"/>
      <c r="L31" s="25"/>
      <c r="M31" s="26"/>
      <c r="N31" s="27"/>
      <c r="O31" s="28"/>
      <c r="P31" s="29"/>
    </row>
    <row r="32" spans="1:16" x14ac:dyDescent="0.2">
      <c r="A32" s="334"/>
      <c r="B32" s="176"/>
      <c r="C32" s="185" t="s">
        <v>267</v>
      </c>
      <c r="D32" s="180" t="s">
        <v>42</v>
      </c>
      <c r="E32" s="183">
        <f>ROUND(E31*0.15*1.2,2)</f>
        <v>0.65</v>
      </c>
      <c r="F32" s="26"/>
      <c r="G32" s="61"/>
      <c r="H32" s="221"/>
      <c r="I32" s="222"/>
      <c r="J32" s="222"/>
      <c r="K32" s="25"/>
      <c r="L32" s="25"/>
      <c r="M32" s="26"/>
      <c r="N32" s="27"/>
      <c r="O32" s="28"/>
      <c r="P32" s="29"/>
    </row>
    <row r="33" spans="1:16" ht="33.75" x14ac:dyDescent="0.2">
      <c r="A33" s="284">
        <v>9</v>
      </c>
      <c r="B33" s="186"/>
      <c r="C33" s="206" t="s">
        <v>581</v>
      </c>
      <c r="D33" s="180" t="s">
        <v>44</v>
      </c>
      <c r="E33" s="211">
        <v>1.5</v>
      </c>
      <c r="F33" s="26"/>
      <c r="G33" s="61"/>
      <c r="H33" s="221"/>
      <c r="I33" s="222"/>
      <c r="J33" s="222"/>
      <c r="K33" s="25"/>
      <c r="L33" s="25"/>
      <c r="M33" s="26"/>
      <c r="N33" s="27"/>
      <c r="O33" s="28"/>
      <c r="P33" s="29"/>
    </row>
    <row r="34" spans="1:16" ht="22.5" x14ac:dyDescent="0.2">
      <c r="A34" s="334"/>
      <c r="B34" s="186"/>
      <c r="C34" s="185" t="s">
        <v>248</v>
      </c>
      <c r="D34" s="180" t="s">
        <v>43</v>
      </c>
      <c r="E34" s="181">
        <f>ROUND(E33*0.2,2)</f>
        <v>0.3</v>
      </c>
      <c r="F34" s="26"/>
      <c r="G34" s="61"/>
      <c r="H34" s="221"/>
      <c r="I34" s="222"/>
      <c r="J34" s="222"/>
      <c r="K34" s="25"/>
      <c r="L34" s="25"/>
      <c r="M34" s="26"/>
      <c r="N34" s="27"/>
      <c r="O34" s="28"/>
      <c r="P34" s="29"/>
    </row>
    <row r="35" spans="1:16" ht="33.75" x14ac:dyDescent="0.2">
      <c r="A35" s="334"/>
      <c r="B35" s="186"/>
      <c r="C35" s="185" t="s">
        <v>471</v>
      </c>
      <c r="D35" s="180" t="s">
        <v>44</v>
      </c>
      <c r="E35" s="181">
        <f>E33</f>
        <v>1.5</v>
      </c>
      <c r="F35" s="26"/>
      <c r="G35" s="61"/>
      <c r="H35" s="221"/>
      <c r="I35" s="222"/>
      <c r="J35" s="222"/>
      <c r="K35" s="25"/>
      <c r="L35" s="25"/>
      <c r="M35" s="26"/>
      <c r="N35" s="27"/>
      <c r="O35" s="28"/>
      <c r="P35" s="29"/>
    </row>
    <row r="36" spans="1:16" ht="22.5" x14ac:dyDescent="0.2">
      <c r="A36" s="284">
        <v>10</v>
      </c>
      <c r="B36" s="176"/>
      <c r="C36" s="179" t="s">
        <v>582</v>
      </c>
      <c r="D36" s="180" t="s">
        <v>43</v>
      </c>
      <c r="E36" s="183">
        <f>E30</f>
        <v>3</v>
      </c>
      <c r="F36" s="26"/>
      <c r="G36" s="61"/>
      <c r="H36" s="221"/>
      <c r="I36" s="222"/>
      <c r="J36" s="222"/>
      <c r="K36" s="25"/>
      <c r="L36" s="25"/>
      <c r="M36" s="26"/>
      <c r="N36" s="27"/>
      <c r="O36" s="28"/>
      <c r="P36" s="29"/>
    </row>
    <row r="37" spans="1:16" x14ac:dyDescent="0.2">
      <c r="A37" s="334"/>
      <c r="B37" s="186"/>
      <c r="C37" s="208" t="s">
        <v>504</v>
      </c>
      <c r="D37" s="209" t="s">
        <v>43</v>
      </c>
      <c r="E37" s="210">
        <f>ROUND(E36*1.1,2)</f>
        <v>3.3</v>
      </c>
      <c r="F37" s="26"/>
      <c r="G37" s="61"/>
      <c r="H37" s="221"/>
      <c r="I37" s="222"/>
      <c r="J37" s="222"/>
      <c r="K37" s="25"/>
      <c r="L37" s="25"/>
      <c r="M37" s="26"/>
      <c r="N37" s="27"/>
      <c r="O37" s="28"/>
      <c r="P37" s="29"/>
    </row>
    <row r="38" spans="1:16" ht="22.5" x14ac:dyDescent="0.2">
      <c r="A38" s="334"/>
      <c r="B38" s="186"/>
      <c r="C38" s="185" t="s">
        <v>508</v>
      </c>
      <c r="D38" s="180" t="s">
        <v>44</v>
      </c>
      <c r="E38" s="181">
        <f>ROUND(E36/0.4,2)</f>
        <v>7.5</v>
      </c>
      <c r="F38" s="26"/>
      <c r="G38" s="61"/>
      <c r="H38" s="221"/>
      <c r="I38" s="222"/>
      <c r="J38" s="222"/>
      <c r="K38" s="25"/>
      <c r="L38" s="25"/>
      <c r="M38" s="26"/>
      <c r="N38" s="27"/>
      <c r="O38" s="28"/>
      <c r="P38" s="29"/>
    </row>
    <row r="39" spans="1:16" ht="22.5" x14ac:dyDescent="0.2">
      <c r="A39" s="334"/>
      <c r="B39" s="186"/>
      <c r="C39" s="185" t="s">
        <v>506</v>
      </c>
      <c r="D39" s="180" t="s">
        <v>403</v>
      </c>
      <c r="E39" s="181">
        <f>ROUND(E36/100,2)</f>
        <v>0.03</v>
      </c>
      <c r="F39" s="26"/>
      <c r="G39" s="61"/>
      <c r="H39" s="221"/>
      <c r="I39" s="222"/>
      <c r="J39" s="222"/>
      <c r="K39" s="25"/>
      <c r="L39" s="25"/>
      <c r="M39" s="26"/>
      <c r="N39" s="27"/>
      <c r="O39" s="28"/>
      <c r="P39" s="29"/>
    </row>
    <row r="40" spans="1:16" x14ac:dyDescent="0.2">
      <c r="A40" s="284">
        <v>11</v>
      </c>
      <c r="B40" s="182"/>
      <c r="C40" s="179" t="s">
        <v>723</v>
      </c>
      <c r="D40" s="180" t="s">
        <v>42</v>
      </c>
      <c r="E40" s="181">
        <f>ROUND(E36*0.15,2)</f>
        <v>0.45</v>
      </c>
      <c r="F40" s="26"/>
      <c r="G40" s="61"/>
      <c r="H40" s="221"/>
      <c r="I40" s="222"/>
      <c r="J40" s="222"/>
      <c r="K40" s="25"/>
      <c r="L40" s="25"/>
      <c r="M40" s="26"/>
      <c r="N40" s="27"/>
      <c r="O40" s="28"/>
      <c r="P40" s="29"/>
    </row>
    <row r="41" spans="1:16" x14ac:dyDescent="0.2">
      <c r="A41" s="334"/>
      <c r="B41" s="176"/>
      <c r="C41" s="187" t="s">
        <v>656</v>
      </c>
      <c r="D41" s="180" t="s">
        <v>42</v>
      </c>
      <c r="E41" s="181">
        <f>ROUND(E40*1.1,2)</f>
        <v>0.5</v>
      </c>
      <c r="F41" s="26"/>
      <c r="G41" s="61"/>
      <c r="H41" s="221"/>
      <c r="I41" s="222"/>
      <c r="J41" s="222"/>
      <c r="K41" s="25"/>
      <c r="L41" s="25"/>
      <c r="M41" s="26"/>
      <c r="N41" s="27"/>
      <c r="O41" s="28"/>
      <c r="P41" s="29"/>
    </row>
    <row r="42" spans="1:16" x14ac:dyDescent="0.2">
      <c r="A42" s="334"/>
      <c r="B42" s="186"/>
      <c r="C42" s="185" t="s">
        <v>245</v>
      </c>
      <c r="D42" s="180" t="s">
        <v>246</v>
      </c>
      <c r="E42" s="181">
        <f>ROUND(E41/8*1,2)</f>
        <v>0.06</v>
      </c>
      <c r="F42" s="26"/>
      <c r="G42" s="61"/>
      <c r="H42" s="221"/>
      <c r="I42" s="222"/>
      <c r="J42" s="222"/>
      <c r="K42" s="25"/>
      <c r="L42" s="25"/>
      <c r="M42" s="26"/>
      <c r="N42" s="27"/>
      <c r="O42" s="28"/>
      <c r="P42" s="29"/>
    </row>
    <row r="43" spans="1:16" x14ac:dyDescent="0.2">
      <c r="A43" s="334"/>
      <c r="B43" s="186"/>
      <c r="C43" s="185" t="s">
        <v>247</v>
      </c>
      <c r="D43" s="180" t="s">
        <v>246</v>
      </c>
      <c r="E43" s="181">
        <f>ROUND(E41/8*2,2)</f>
        <v>0.13</v>
      </c>
      <c r="F43" s="26"/>
      <c r="G43" s="61"/>
      <c r="H43" s="221"/>
      <c r="I43" s="222"/>
      <c r="J43" s="222"/>
      <c r="K43" s="25"/>
      <c r="L43" s="25"/>
      <c r="M43" s="26"/>
      <c r="N43" s="27"/>
      <c r="O43" s="28"/>
      <c r="P43" s="29"/>
    </row>
    <row r="44" spans="1:16" x14ac:dyDescent="0.2">
      <c r="A44" s="334"/>
      <c r="B44" s="186"/>
      <c r="C44" s="185" t="s">
        <v>252</v>
      </c>
      <c r="D44" s="180" t="s">
        <v>48</v>
      </c>
      <c r="E44" s="183">
        <v>1</v>
      </c>
      <c r="F44" s="26"/>
      <c r="G44" s="61"/>
      <c r="H44" s="221"/>
      <c r="I44" s="222"/>
      <c r="J44" s="222"/>
      <c r="K44" s="25"/>
      <c r="L44" s="25"/>
      <c r="M44" s="26"/>
      <c r="N44" s="27"/>
      <c r="O44" s="28"/>
      <c r="P44" s="29"/>
    </row>
    <row r="45" spans="1:16" x14ac:dyDescent="0.2">
      <c r="A45" s="334"/>
      <c r="B45" s="186"/>
      <c r="C45" s="235" t="s">
        <v>580</v>
      </c>
      <c r="D45" s="188" t="s">
        <v>43</v>
      </c>
      <c r="E45" s="189">
        <v>46.5</v>
      </c>
      <c r="F45" s="26"/>
      <c r="G45" s="61"/>
      <c r="H45" s="221"/>
      <c r="I45" s="222"/>
      <c r="J45" s="222"/>
      <c r="K45" s="25"/>
      <c r="L45" s="25"/>
      <c r="M45" s="26"/>
      <c r="N45" s="27"/>
      <c r="O45" s="28"/>
      <c r="P45" s="29"/>
    </row>
    <row r="46" spans="1:16" ht="22.5" x14ac:dyDescent="0.2">
      <c r="A46" s="284">
        <v>12</v>
      </c>
      <c r="B46" s="182"/>
      <c r="C46" s="179" t="s">
        <v>502</v>
      </c>
      <c r="D46" s="180" t="s">
        <v>43</v>
      </c>
      <c r="E46" s="183">
        <f>ROUND(E45*1.2,1)</f>
        <v>55.8</v>
      </c>
      <c r="F46" s="26"/>
      <c r="G46" s="61"/>
      <c r="H46" s="221"/>
      <c r="I46" s="222"/>
      <c r="J46" s="222"/>
      <c r="K46" s="25"/>
      <c r="L46" s="25"/>
      <c r="M46" s="26"/>
      <c r="N46" s="27"/>
      <c r="O46" s="28"/>
      <c r="P46" s="29"/>
    </row>
    <row r="47" spans="1:16" x14ac:dyDescent="0.2">
      <c r="A47" s="334"/>
      <c r="B47" s="176"/>
      <c r="C47" s="185" t="s">
        <v>267</v>
      </c>
      <c r="D47" s="180" t="s">
        <v>42</v>
      </c>
      <c r="E47" s="183">
        <f>ROUND(E46*0.15*1.2,2)</f>
        <v>10.039999999999999</v>
      </c>
      <c r="F47" s="26"/>
      <c r="G47" s="61"/>
      <c r="H47" s="221"/>
      <c r="I47" s="222"/>
      <c r="J47" s="222"/>
      <c r="K47" s="25"/>
      <c r="L47" s="25"/>
      <c r="M47" s="26"/>
      <c r="N47" s="27"/>
      <c r="O47" s="28"/>
      <c r="P47" s="29"/>
    </row>
    <row r="48" spans="1:16" ht="33.75" x14ac:dyDescent="0.2">
      <c r="A48" s="284">
        <v>13</v>
      </c>
      <c r="B48" s="186"/>
      <c r="C48" s="206" t="s">
        <v>581</v>
      </c>
      <c r="D48" s="180" t="s">
        <v>44</v>
      </c>
      <c r="E48" s="211">
        <v>53.6</v>
      </c>
      <c r="F48" s="26"/>
      <c r="G48" s="61"/>
      <c r="H48" s="221"/>
      <c r="I48" s="222"/>
      <c r="J48" s="222"/>
      <c r="K48" s="25"/>
      <c r="L48" s="25"/>
      <c r="M48" s="26"/>
      <c r="N48" s="27"/>
      <c r="O48" s="28"/>
      <c r="P48" s="29"/>
    </row>
    <row r="49" spans="1:16" ht="22.5" x14ac:dyDescent="0.2">
      <c r="A49" s="334"/>
      <c r="B49" s="186"/>
      <c r="C49" s="185" t="s">
        <v>248</v>
      </c>
      <c r="D49" s="180" t="s">
        <v>43</v>
      </c>
      <c r="E49" s="181">
        <f>ROUND(E48*0.2,2)</f>
        <v>10.72</v>
      </c>
      <c r="F49" s="26"/>
      <c r="G49" s="61"/>
      <c r="H49" s="221"/>
      <c r="I49" s="222"/>
      <c r="J49" s="222"/>
      <c r="K49" s="25"/>
      <c r="L49" s="25"/>
      <c r="M49" s="26"/>
      <c r="N49" s="27"/>
      <c r="O49" s="28"/>
      <c r="P49" s="29"/>
    </row>
    <row r="50" spans="1:16" ht="33.75" x14ac:dyDescent="0.2">
      <c r="A50" s="334"/>
      <c r="B50" s="186"/>
      <c r="C50" s="185" t="s">
        <v>471</v>
      </c>
      <c r="D50" s="180" t="s">
        <v>44</v>
      </c>
      <c r="E50" s="181">
        <f>E48</f>
        <v>53.6</v>
      </c>
      <c r="F50" s="26"/>
      <c r="G50" s="61"/>
      <c r="H50" s="221"/>
      <c r="I50" s="222"/>
      <c r="J50" s="222"/>
      <c r="K50" s="25"/>
      <c r="L50" s="25"/>
      <c r="M50" s="26"/>
      <c r="N50" s="27"/>
      <c r="O50" s="28"/>
      <c r="P50" s="29"/>
    </row>
    <row r="51" spans="1:16" ht="22.5" x14ac:dyDescent="0.2">
      <c r="A51" s="284">
        <v>14</v>
      </c>
      <c r="B51" s="176"/>
      <c r="C51" s="179" t="s">
        <v>582</v>
      </c>
      <c r="D51" s="180" t="s">
        <v>43</v>
      </c>
      <c r="E51" s="183">
        <f>E45</f>
        <v>46.5</v>
      </c>
      <c r="F51" s="26"/>
      <c r="G51" s="61"/>
      <c r="H51" s="221"/>
      <c r="I51" s="222"/>
      <c r="J51" s="222"/>
      <c r="K51" s="25"/>
      <c r="L51" s="25"/>
      <c r="M51" s="26"/>
      <c r="N51" s="27"/>
      <c r="O51" s="28"/>
      <c r="P51" s="29"/>
    </row>
    <row r="52" spans="1:16" x14ac:dyDescent="0.2">
      <c r="A52" s="334"/>
      <c r="B52" s="186"/>
      <c r="C52" s="208" t="s">
        <v>504</v>
      </c>
      <c r="D52" s="209" t="s">
        <v>43</v>
      </c>
      <c r="E52" s="210">
        <f>ROUND(E51*1.1,2)</f>
        <v>51.15</v>
      </c>
      <c r="F52" s="26"/>
      <c r="G52" s="61"/>
      <c r="H52" s="221"/>
      <c r="I52" s="222"/>
      <c r="J52" s="222"/>
      <c r="K52" s="25"/>
      <c r="L52" s="25"/>
      <c r="M52" s="26"/>
      <c r="N52" s="27"/>
      <c r="O52" s="28"/>
      <c r="P52" s="29"/>
    </row>
    <row r="53" spans="1:16" ht="22.5" x14ac:dyDescent="0.2">
      <c r="A53" s="334"/>
      <c r="B53" s="186"/>
      <c r="C53" s="185" t="s">
        <v>508</v>
      </c>
      <c r="D53" s="180" t="s">
        <v>44</v>
      </c>
      <c r="E53" s="181">
        <f>ROUND(E51/0.4,2)</f>
        <v>116.25</v>
      </c>
      <c r="F53" s="26"/>
      <c r="G53" s="61"/>
      <c r="H53" s="221"/>
      <c r="I53" s="222"/>
      <c r="J53" s="222"/>
      <c r="K53" s="25"/>
      <c r="L53" s="25"/>
      <c r="M53" s="26"/>
      <c r="N53" s="27"/>
      <c r="O53" s="28"/>
      <c r="P53" s="29"/>
    </row>
    <row r="54" spans="1:16" ht="22.5" x14ac:dyDescent="0.2">
      <c r="A54" s="334"/>
      <c r="B54" s="186"/>
      <c r="C54" s="185" t="s">
        <v>506</v>
      </c>
      <c r="D54" s="180" t="s">
        <v>403</v>
      </c>
      <c r="E54" s="181">
        <f>ROUND(E51/100,2)</f>
        <v>0.47</v>
      </c>
      <c r="F54" s="26"/>
      <c r="G54" s="61"/>
      <c r="H54" s="221"/>
      <c r="I54" s="222"/>
      <c r="J54" s="222"/>
      <c r="K54" s="25"/>
      <c r="L54" s="25"/>
      <c r="M54" s="26"/>
      <c r="N54" s="27"/>
      <c r="O54" s="28"/>
      <c r="P54" s="29"/>
    </row>
    <row r="55" spans="1:16" ht="22.5" x14ac:dyDescent="0.2">
      <c r="A55" s="284">
        <v>15</v>
      </c>
      <c r="B55" s="182"/>
      <c r="C55" s="179" t="s">
        <v>583</v>
      </c>
      <c r="D55" s="180" t="s">
        <v>42</v>
      </c>
      <c r="E55" s="181">
        <f>ROUND(E51*0.15,2)</f>
        <v>6.98</v>
      </c>
      <c r="F55" s="26"/>
      <c r="G55" s="61"/>
      <c r="H55" s="221"/>
      <c r="I55" s="222"/>
      <c r="J55" s="222"/>
      <c r="K55" s="25"/>
      <c r="L55" s="25"/>
      <c r="M55" s="26"/>
      <c r="N55" s="27"/>
      <c r="O55" s="28"/>
      <c r="P55" s="29"/>
    </row>
    <row r="56" spans="1:16" x14ac:dyDescent="0.2">
      <c r="A56" s="334"/>
      <c r="B56" s="176"/>
      <c r="C56" s="363" t="s">
        <v>657</v>
      </c>
      <c r="D56" s="180" t="s">
        <v>42</v>
      </c>
      <c r="E56" s="181">
        <f>ROUND(E55*1.1,2)</f>
        <v>7.68</v>
      </c>
      <c r="F56" s="26"/>
      <c r="G56" s="61"/>
      <c r="H56" s="221"/>
      <c r="I56" s="222"/>
      <c r="J56" s="222"/>
      <c r="K56" s="25"/>
      <c r="L56" s="25"/>
      <c r="M56" s="26"/>
      <c r="N56" s="27"/>
      <c r="O56" s="28"/>
      <c r="P56" s="29"/>
    </row>
    <row r="57" spans="1:16" x14ac:dyDescent="0.2">
      <c r="A57" s="334"/>
      <c r="B57" s="186"/>
      <c r="C57" s="185" t="s">
        <v>245</v>
      </c>
      <c r="D57" s="180" t="s">
        <v>246</v>
      </c>
      <c r="E57" s="181">
        <f>ROUND(E56/8*1,2)</f>
        <v>0.96</v>
      </c>
      <c r="F57" s="26"/>
      <c r="G57" s="61"/>
      <c r="H57" s="221"/>
      <c r="I57" s="222"/>
      <c r="J57" s="222"/>
      <c r="K57" s="25"/>
      <c r="L57" s="25"/>
      <c r="M57" s="26"/>
      <c r="N57" s="27"/>
      <c r="O57" s="28"/>
      <c r="P57" s="29"/>
    </row>
    <row r="58" spans="1:16" x14ac:dyDescent="0.2">
      <c r="A58" s="334"/>
      <c r="B58" s="186"/>
      <c r="C58" s="185" t="s">
        <v>247</v>
      </c>
      <c r="D58" s="180" t="s">
        <v>246</v>
      </c>
      <c r="E58" s="181">
        <f>ROUND(E56/8*2,2)</f>
        <v>1.92</v>
      </c>
      <c r="F58" s="26"/>
      <c r="G58" s="61"/>
      <c r="H58" s="221"/>
      <c r="I58" s="222"/>
      <c r="J58" s="222"/>
      <c r="K58" s="25"/>
      <c r="L58" s="25"/>
      <c r="M58" s="26"/>
      <c r="N58" s="27"/>
      <c r="O58" s="28"/>
      <c r="P58" s="29"/>
    </row>
    <row r="59" spans="1:16" ht="15" thickBot="1" x14ac:dyDescent="0.25">
      <c r="A59" s="334"/>
      <c r="B59" s="186"/>
      <c r="C59" s="185" t="s">
        <v>252</v>
      </c>
      <c r="D59" s="180" t="s">
        <v>48</v>
      </c>
      <c r="E59" s="183">
        <v>1</v>
      </c>
      <c r="F59" s="26"/>
      <c r="G59" s="61"/>
      <c r="H59" s="221"/>
      <c r="I59" s="222"/>
      <c r="J59" s="222"/>
      <c r="K59" s="25"/>
      <c r="L59" s="25"/>
      <c r="M59" s="26"/>
      <c r="N59" s="27"/>
      <c r="O59" s="28"/>
      <c r="P59" s="29"/>
    </row>
    <row r="60" spans="1:16" ht="15" customHeight="1" thickBo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2" t="s">
        <v>130</v>
      </c>
      <c r="L60" s="33">
        <f>ROUND(SUM(L15:L59),2)</f>
        <v>0</v>
      </c>
      <c r="M60" s="33">
        <f>ROUND(SUM(M15:M59),2)</f>
        <v>0</v>
      </c>
      <c r="N60" s="34">
        <f>ROUND(SUM(N15:N59),2)</f>
        <v>0</v>
      </c>
      <c r="O60" s="35">
        <f>ROUND(SUM(O15:O59),2)</f>
        <v>0</v>
      </c>
      <c r="P60" s="36">
        <f>ROUND(SUM(P15:P59),2)</f>
        <v>0</v>
      </c>
    </row>
    <row r="61" spans="1:16" ht="34.9" customHeight="1" x14ac:dyDescent="0.2">
      <c r="A61" s="37"/>
      <c r="B61" s="7"/>
      <c r="C61" s="38"/>
      <c r="D61" s="39"/>
      <c r="E61" s="5"/>
      <c r="F61" s="5"/>
      <c r="G61" s="5"/>
      <c r="H61" s="7"/>
      <c r="I61" s="7"/>
      <c r="J61" s="7"/>
      <c r="K61" s="7"/>
      <c r="L61" s="7"/>
      <c r="M61" s="7"/>
      <c r="N61" s="7"/>
      <c r="O61" s="7"/>
      <c r="P61" s="7"/>
    </row>
    <row r="62" spans="1:16" x14ac:dyDescent="0.2">
      <c r="A62" s="40"/>
      <c r="B62" s="41"/>
      <c r="C62" s="41" t="s">
        <v>10</v>
      </c>
      <c r="D62" s="42"/>
      <c r="E62" s="43"/>
      <c r="F62" s="44"/>
      <c r="G62" s="42"/>
      <c r="H62" s="45">
        <f>Kopsavilkums!C$43</f>
        <v>0</v>
      </c>
      <c r="I62" s="46" t="str">
        <f>Kopsavilkums!D$43</f>
        <v>datums</v>
      </c>
      <c r="J62" s="46"/>
      <c r="K62" s="41" t="s">
        <v>11</v>
      </c>
      <c r="L62" s="47"/>
      <c r="M62" s="44"/>
      <c r="N62" s="44"/>
      <c r="O62" s="45">
        <f>Kopsavilkums!C$48</f>
        <v>0</v>
      </c>
      <c r="P62" s="46" t="str">
        <f>Kopsavilkums!D$48</f>
        <v>datums</v>
      </c>
    </row>
    <row r="63" spans="1:16" x14ac:dyDescent="0.2">
      <c r="A63" s="48"/>
      <c r="B63" s="49"/>
      <c r="C63" s="50"/>
      <c r="D63" s="407" t="s">
        <v>12</v>
      </c>
      <c r="E63" s="407"/>
      <c r="F63" s="407"/>
      <c r="G63" s="407"/>
      <c r="H63" s="407"/>
      <c r="I63" s="7"/>
      <c r="J63" s="7"/>
      <c r="K63" s="7"/>
      <c r="L63" s="407" t="s">
        <v>12</v>
      </c>
      <c r="M63" s="407"/>
      <c r="N63" s="407"/>
      <c r="O63" s="407"/>
      <c r="P63" s="7"/>
    </row>
    <row r="64" spans="1:16" x14ac:dyDescent="0.2">
      <c r="A64" s="37"/>
      <c r="B64" s="7"/>
      <c r="C64" s="38"/>
      <c r="D64" s="5"/>
      <c r="E64" s="5"/>
      <c r="F64" s="5"/>
      <c r="G64" s="5"/>
      <c r="H64" s="7"/>
      <c r="I64" s="7"/>
      <c r="J64" s="7"/>
      <c r="K64" s="7"/>
      <c r="L64" s="7"/>
      <c r="M64" s="7"/>
      <c r="N64" s="7"/>
      <c r="O64" s="7"/>
      <c r="P64" s="7"/>
    </row>
    <row r="65" spans="1:45" x14ac:dyDescent="0.2">
      <c r="A65" s="51"/>
      <c r="B65" s="46"/>
      <c r="C65" s="52"/>
      <c r="D65" s="52" t="str">
        <f>Kopsavilkums!B$46</f>
        <v>-</v>
      </c>
      <c r="E65" s="5"/>
      <c r="F65" s="5"/>
      <c r="G65" s="5"/>
      <c r="H65" s="7"/>
      <c r="I65" s="7"/>
      <c r="J65" s="7"/>
      <c r="K65" s="7"/>
      <c r="L65" s="52" t="str">
        <f>Kopsavilkums!B$51</f>
        <v>Sert.Nr.</v>
      </c>
      <c r="M65" s="53"/>
      <c r="N65" s="7"/>
      <c r="O65" s="7"/>
      <c r="P65" s="7"/>
    </row>
    <row r="66" spans="1:45" s="54" customFormat="1" x14ac:dyDescent="0.25">
      <c r="Q66" s="195"/>
      <c r="R66" s="195"/>
      <c r="S66" s="195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</row>
    <row r="67" spans="1:45" s="54" customFormat="1" x14ac:dyDescent="0.25">
      <c r="Q67" s="195"/>
      <c r="R67" s="195"/>
      <c r="S67" s="195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</row>
    <row r="68" spans="1:45" s="54" customFormat="1" x14ac:dyDescent="0.25">
      <c r="Q68" s="195"/>
      <c r="R68" s="195"/>
      <c r="S68" s="195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</row>
    <row r="69" spans="1:45" s="54" customFormat="1" x14ac:dyDescent="0.25">
      <c r="Q69" s="195"/>
      <c r="R69" s="195"/>
      <c r="S69" s="195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</row>
    <row r="70" spans="1:45" s="54" customFormat="1" x14ac:dyDescent="0.25">
      <c r="Q70" s="195"/>
      <c r="R70" s="195"/>
      <c r="S70" s="195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</row>
    <row r="71" spans="1:45" s="54" customFormat="1" x14ac:dyDescent="0.25">
      <c r="Q71" s="195"/>
      <c r="R71" s="195"/>
      <c r="S71" s="195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</row>
    <row r="72" spans="1:45" s="54" customFormat="1" x14ac:dyDescent="0.25">
      <c r="Q72" s="195"/>
      <c r="R72" s="195"/>
      <c r="S72" s="195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</row>
    <row r="73" spans="1:45" s="54" customFormat="1" x14ac:dyDescent="0.25">
      <c r="Q73" s="195"/>
      <c r="R73" s="195"/>
      <c r="S73" s="195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</row>
    <row r="74" spans="1:45" s="54" customFormat="1" x14ac:dyDescent="0.25">
      <c r="Q74" s="195"/>
      <c r="R74" s="195"/>
      <c r="S74" s="195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</row>
    <row r="75" spans="1:45" s="54" customFormat="1" x14ac:dyDescent="0.25">
      <c r="Q75" s="195"/>
      <c r="R75" s="195"/>
      <c r="S75" s="195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</row>
    <row r="76" spans="1:45" s="54" customFormat="1" x14ac:dyDescent="0.25">
      <c r="Q76" s="195"/>
      <c r="R76" s="195"/>
      <c r="S76" s="195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</row>
    <row r="77" spans="1:45" s="54" customFormat="1" x14ac:dyDescent="0.25">
      <c r="Q77" s="195"/>
      <c r="R77" s="195"/>
      <c r="S77" s="195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</row>
    <row r="78" spans="1:45" s="54" customFormat="1" x14ac:dyDescent="0.25">
      <c r="Q78" s="195"/>
      <c r="R78" s="195"/>
      <c r="S78" s="195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</row>
    <row r="79" spans="1:45" s="54" customFormat="1" x14ac:dyDescent="0.25">
      <c r="Q79" s="195"/>
      <c r="R79" s="195"/>
      <c r="S79" s="195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</row>
    <row r="80" spans="1:45" s="54" customFormat="1" x14ac:dyDescent="0.25">
      <c r="Q80" s="195"/>
      <c r="R80" s="195"/>
      <c r="S80" s="195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</row>
    <row r="81" spans="17:45" s="54" customFormat="1" x14ac:dyDescent="0.25">
      <c r="Q81" s="195"/>
      <c r="R81" s="195"/>
      <c r="S81" s="195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</row>
    <row r="82" spans="17:45" s="54" customFormat="1" x14ac:dyDescent="0.25">
      <c r="Q82" s="195"/>
      <c r="R82" s="195"/>
      <c r="S82" s="195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</row>
    <row r="83" spans="17:45" s="54" customFormat="1" x14ac:dyDescent="0.25">
      <c r="Q83" s="195"/>
      <c r="R83" s="195"/>
      <c r="S83" s="195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</row>
    <row r="84" spans="17:45" s="54" customFormat="1" x14ac:dyDescent="0.25">
      <c r="Q84" s="195"/>
      <c r="R84" s="195"/>
      <c r="S84" s="195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</row>
    <row r="85" spans="17:45" s="54" customFormat="1" x14ac:dyDescent="0.25">
      <c r="Q85" s="195"/>
      <c r="R85" s="195"/>
      <c r="S85" s="195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</row>
    <row r="86" spans="17:45" s="54" customFormat="1" x14ac:dyDescent="0.25">
      <c r="Q86" s="195"/>
      <c r="R86" s="195"/>
      <c r="S86" s="195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</row>
    <row r="87" spans="17:45" s="54" customFormat="1" x14ac:dyDescent="0.25">
      <c r="Q87" s="195"/>
      <c r="R87" s="195"/>
      <c r="S87" s="195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</row>
    <row r="88" spans="17:45" s="54" customFormat="1" x14ac:dyDescent="0.25">
      <c r="Q88" s="195"/>
      <c r="R88" s="195"/>
      <c r="S88" s="195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</row>
    <row r="89" spans="17:45" s="54" customFormat="1" x14ac:dyDescent="0.25">
      <c r="Q89" s="195"/>
      <c r="R89" s="195"/>
      <c r="S89" s="195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</row>
    <row r="90" spans="17:45" s="54" customFormat="1" x14ac:dyDescent="0.25">
      <c r="Q90" s="195"/>
      <c r="R90" s="195"/>
      <c r="S90" s="195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</row>
    <row r="91" spans="17:45" s="54" customFormat="1" x14ac:dyDescent="0.25">
      <c r="Q91" s="195"/>
      <c r="R91" s="195"/>
      <c r="S91" s="195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</row>
    <row r="92" spans="17:45" s="54" customFormat="1" x14ac:dyDescent="0.25">
      <c r="Q92" s="195"/>
      <c r="R92" s="195"/>
      <c r="S92" s="195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</row>
    <row r="93" spans="17:45" s="54" customFormat="1" x14ac:dyDescent="0.25">
      <c r="Q93" s="195"/>
      <c r="R93" s="195"/>
      <c r="S93" s="195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</row>
    <row r="94" spans="17:45" s="54" customFormat="1" x14ac:dyDescent="0.25">
      <c r="Q94" s="195"/>
      <c r="R94" s="195"/>
      <c r="S94" s="195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</row>
    <row r="95" spans="17:45" s="54" customFormat="1" x14ac:dyDescent="0.25">
      <c r="Q95" s="195"/>
      <c r="R95" s="195"/>
      <c r="S95" s="195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</row>
    <row r="96" spans="17:45" s="54" customFormat="1" x14ac:dyDescent="0.25">
      <c r="Q96" s="195"/>
      <c r="R96" s="195"/>
      <c r="S96" s="195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</row>
    <row r="97" spans="17:45" s="54" customFormat="1" x14ac:dyDescent="0.25">
      <c r="Q97" s="195"/>
      <c r="R97" s="195"/>
      <c r="S97" s="195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</row>
    <row r="98" spans="17:45" s="54" customFormat="1" x14ac:dyDescent="0.25">
      <c r="Q98" s="195"/>
      <c r="R98" s="195"/>
      <c r="S98" s="195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</row>
    <row r="99" spans="17:45" s="54" customFormat="1" x14ac:dyDescent="0.25">
      <c r="Q99" s="195"/>
      <c r="R99" s="195"/>
      <c r="S99" s="195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</row>
    <row r="100" spans="17:45" s="54" customFormat="1" x14ac:dyDescent="0.25">
      <c r="Q100" s="195"/>
      <c r="R100" s="195"/>
      <c r="S100" s="195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</row>
    <row r="101" spans="17:45" s="54" customFormat="1" x14ac:dyDescent="0.25">
      <c r="Q101" s="195"/>
      <c r="R101" s="195"/>
      <c r="S101" s="195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</row>
    <row r="102" spans="17:45" s="54" customFormat="1" x14ac:dyDescent="0.25">
      <c r="Q102" s="195"/>
      <c r="R102" s="195"/>
      <c r="S102" s="195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</row>
    <row r="103" spans="17:45" s="54" customFormat="1" x14ac:dyDescent="0.25">
      <c r="Q103" s="195"/>
      <c r="R103" s="195"/>
      <c r="S103" s="195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</row>
    <row r="104" spans="17:45" s="54" customFormat="1" x14ac:dyDescent="0.25">
      <c r="Q104" s="195"/>
      <c r="R104" s="195"/>
      <c r="S104" s="195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</row>
    <row r="105" spans="17:45" s="54" customFormat="1" x14ac:dyDescent="0.25">
      <c r="Q105" s="195"/>
      <c r="R105" s="195"/>
      <c r="S105" s="195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</row>
    <row r="106" spans="17:45" s="54" customFormat="1" x14ac:dyDescent="0.25">
      <c r="Q106" s="195"/>
      <c r="R106" s="195"/>
      <c r="S106" s="195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</row>
    <row r="107" spans="17:45" s="54" customFormat="1" x14ac:dyDescent="0.25">
      <c r="Q107" s="195"/>
      <c r="R107" s="195"/>
      <c r="S107" s="195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</row>
    <row r="108" spans="17:45" s="54" customFormat="1" x14ac:dyDescent="0.25">
      <c r="Q108" s="195"/>
      <c r="R108" s="195"/>
      <c r="S108" s="195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</row>
    <row r="109" spans="17:45" s="54" customFormat="1" x14ac:dyDescent="0.25">
      <c r="Q109" s="195"/>
      <c r="R109" s="195"/>
      <c r="S109" s="195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</row>
    <row r="110" spans="17:45" s="54" customFormat="1" x14ac:dyDescent="0.25">
      <c r="Q110" s="195"/>
      <c r="R110" s="195"/>
      <c r="S110" s="195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</row>
    <row r="111" spans="17:45" s="54" customFormat="1" x14ac:dyDescent="0.25">
      <c r="Q111" s="195"/>
      <c r="R111" s="195"/>
      <c r="S111" s="195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</row>
    <row r="112" spans="17:45" s="54" customFormat="1" x14ac:dyDescent="0.25">
      <c r="Q112" s="195"/>
      <c r="R112" s="195"/>
      <c r="S112" s="195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</row>
    <row r="113" spans="17:45" s="54" customFormat="1" x14ac:dyDescent="0.25">
      <c r="Q113" s="195"/>
      <c r="R113" s="195"/>
      <c r="S113" s="195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</row>
    <row r="114" spans="17:45" s="54" customFormat="1" x14ac:dyDescent="0.25">
      <c r="Q114" s="195"/>
      <c r="R114" s="195"/>
      <c r="S114" s="195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</row>
    <row r="115" spans="17:45" s="54" customFormat="1" x14ac:dyDescent="0.25">
      <c r="Q115" s="195"/>
      <c r="R115" s="195"/>
      <c r="S115" s="195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</row>
    <row r="116" spans="17:45" s="54" customFormat="1" x14ac:dyDescent="0.25">
      <c r="Q116" s="195"/>
      <c r="R116" s="195"/>
      <c r="S116" s="195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</row>
    <row r="117" spans="17:45" s="54" customFormat="1" x14ac:dyDescent="0.25">
      <c r="Q117" s="195"/>
      <c r="R117" s="195"/>
      <c r="S117" s="195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</row>
    <row r="118" spans="17:45" s="54" customFormat="1" x14ac:dyDescent="0.25">
      <c r="Q118" s="195"/>
      <c r="R118" s="195"/>
      <c r="S118" s="195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</row>
    <row r="119" spans="17:45" s="54" customFormat="1" x14ac:dyDescent="0.25">
      <c r="Q119" s="195"/>
      <c r="R119" s="195"/>
      <c r="S119" s="195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</row>
    <row r="120" spans="17:45" s="54" customFormat="1" x14ac:dyDescent="0.25">
      <c r="Q120" s="195"/>
      <c r="R120" s="195"/>
      <c r="S120" s="195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</row>
    <row r="121" spans="17:45" s="54" customFormat="1" x14ac:dyDescent="0.25">
      <c r="Q121" s="195"/>
      <c r="R121" s="195"/>
      <c r="S121" s="195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</row>
    <row r="122" spans="17:45" s="54" customFormat="1" x14ac:dyDescent="0.25">
      <c r="Q122" s="195"/>
      <c r="R122" s="195"/>
      <c r="S122" s="195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</row>
    <row r="123" spans="17:45" s="54" customFormat="1" x14ac:dyDescent="0.25">
      <c r="Q123" s="195"/>
      <c r="R123" s="195"/>
      <c r="S123" s="195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</row>
    <row r="124" spans="17:45" s="54" customFormat="1" x14ac:dyDescent="0.25">
      <c r="Q124" s="195"/>
      <c r="R124" s="195"/>
      <c r="S124" s="195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</row>
    <row r="125" spans="17:45" s="54" customFormat="1" x14ac:dyDescent="0.25">
      <c r="Q125" s="195"/>
      <c r="R125" s="195"/>
      <c r="S125" s="195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</row>
    <row r="126" spans="17:45" s="54" customFormat="1" x14ac:dyDescent="0.25">
      <c r="Q126" s="195"/>
      <c r="R126" s="195"/>
      <c r="S126" s="195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</row>
    <row r="127" spans="17:45" s="54" customFormat="1" x14ac:dyDescent="0.25">
      <c r="Q127" s="195"/>
      <c r="R127" s="195"/>
      <c r="S127" s="195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</row>
    <row r="128" spans="17:45" s="54" customFormat="1" x14ac:dyDescent="0.25">
      <c r="Q128" s="195"/>
      <c r="R128" s="195"/>
      <c r="S128" s="195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</row>
    <row r="129" spans="17:45" s="54" customFormat="1" x14ac:dyDescent="0.25">
      <c r="Q129" s="195"/>
      <c r="R129" s="195"/>
      <c r="S129" s="195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</row>
    <row r="130" spans="17:45" s="54" customFormat="1" x14ac:dyDescent="0.25">
      <c r="Q130" s="195"/>
      <c r="R130" s="195"/>
      <c r="S130" s="195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</row>
    <row r="131" spans="17:45" s="54" customFormat="1" x14ac:dyDescent="0.25">
      <c r="Q131" s="195"/>
      <c r="R131" s="195"/>
      <c r="S131" s="195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</row>
    <row r="132" spans="17:45" s="54" customFormat="1" x14ac:dyDescent="0.25">
      <c r="Q132" s="195"/>
      <c r="R132" s="195"/>
      <c r="S132" s="195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</row>
    <row r="133" spans="17:45" s="54" customFormat="1" x14ac:dyDescent="0.25">
      <c r="Q133" s="195"/>
      <c r="R133" s="195"/>
      <c r="S133" s="195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</row>
    <row r="134" spans="17:45" s="54" customFormat="1" x14ac:dyDescent="0.25">
      <c r="Q134" s="195"/>
      <c r="R134" s="195"/>
      <c r="S134" s="195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</row>
    <row r="135" spans="17:45" s="54" customFormat="1" x14ac:dyDescent="0.25">
      <c r="Q135" s="195"/>
      <c r="R135" s="195"/>
      <c r="S135" s="195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</row>
    <row r="136" spans="17:45" s="54" customFormat="1" x14ac:dyDescent="0.25">
      <c r="Q136" s="195"/>
      <c r="R136" s="195"/>
      <c r="S136" s="195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</row>
    <row r="137" spans="17:45" s="54" customFormat="1" x14ac:dyDescent="0.25">
      <c r="Q137" s="195"/>
      <c r="R137" s="195"/>
      <c r="S137" s="195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</row>
    <row r="138" spans="17:45" s="54" customFormat="1" x14ac:dyDescent="0.25">
      <c r="Q138" s="195"/>
      <c r="R138" s="195"/>
      <c r="S138" s="195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</row>
    <row r="139" spans="17:45" s="54" customFormat="1" x14ac:dyDescent="0.25">
      <c r="Q139" s="195"/>
      <c r="R139" s="195"/>
      <c r="S139" s="195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</row>
    <row r="140" spans="17:45" s="54" customFormat="1" x14ac:dyDescent="0.25">
      <c r="Q140" s="195"/>
      <c r="R140" s="195"/>
      <c r="S140" s="195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</row>
    <row r="141" spans="17:45" s="54" customFormat="1" x14ac:dyDescent="0.25">
      <c r="Q141" s="195"/>
      <c r="R141" s="195"/>
      <c r="S141" s="195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</row>
    <row r="142" spans="17:45" s="54" customFormat="1" x14ac:dyDescent="0.25">
      <c r="Q142" s="195"/>
      <c r="R142" s="195"/>
      <c r="S142" s="195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</row>
    <row r="143" spans="17:45" s="54" customFormat="1" x14ac:dyDescent="0.25">
      <c r="Q143" s="195"/>
      <c r="R143" s="195"/>
      <c r="S143" s="195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</row>
    <row r="144" spans="17:45" s="54" customFormat="1" x14ac:dyDescent="0.25">
      <c r="Q144" s="195"/>
      <c r="R144" s="195"/>
      <c r="S144" s="195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</row>
    <row r="145" spans="17:45" s="54" customFormat="1" x14ac:dyDescent="0.25">
      <c r="Q145" s="195"/>
      <c r="R145" s="195"/>
      <c r="S145" s="195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</row>
    <row r="146" spans="17:45" s="54" customFormat="1" x14ac:dyDescent="0.25">
      <c r="Q146" s="195"/>
      <c r="R146" s="195"/>
      <c r="S146" s="195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</row>
    <row r="147" spans="17:45" s="54" customFormat="1" x14ac:dyDescent="0.25">
      <c r="Q147" s="195"/>
      <c r="R147" s="195"/>
      <c r="S147" s="195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</row>
    <row r="148" spans="17:45" s="54" customFormat="1" x14ac:dyDescent="0.25">
      <c r="Q148" s="195"/>
      <c r="R148" s="195"/>
      <c r="S148" s="195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</row>
    <row r="149" spans="17:45" s="54" customFormat="1" x14ac:dyDescent="0.25">
      <c r="Q149" s="195"/>
      <c r="R149" s="195"/>
      <c r="S149" s="195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</row>
    <row r="150" spans="17:45" s="54" customFormat="1" x14ac:dyDescent="0.25">
      <c r="Q150" s="195"/>
      <c r="R150" s="195"/>
      <c r="S150" s="195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</row>
    <row r="151" spans="17:45" s="54" customFormat="1" x14ac:dyDescent="0.25">
      <c r="Q151" s="195"/>
      <c r="R151" s="195"/>
      <c r="S151" s="195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</row>
    <row r="152" spans="17:45" s="54" customFormat="1" x14ac:dyDescent="0.25">
      <c r="Q152" s="195"/>
      <c r="R152" s="195"/>
      <c r="S152" s="195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</row>
    <row r="153" spans="17:45" s="54" customFormat="1" x14ac:dyDescent="0.25">
      <c r="Q153" s="195"/>
      <c r="R153" s="195"/>
      <c r="S153" s="195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</row>
    <row r="154" spans="17:45" s="54" customFormat="1" x14ac:dyDescent="0.25">
      <c r="Q154" s="195"/>
      <c r="R154" s="195"/>
      <c r="S154" s="195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</row>
    <row r="155" spans="17:45" s="54" customFormat="1" x14ac:dyDescent="0.25">
      <c r="Q155" s="195"/>
      <c r="R155" s="195"/>
      <c r="S155" s="195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</row>
    <row r="156" spans="17:45" s="54" customFormat="1" x14ac:dyDescent="0.25">
      <c r="Q156" s="195"/>
      <c r="R156" s="195"/>
      <c r="S156" s="195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</row>
    <row r="157" spans="17:45" s="54" customFormat="1" x14ac:dyDescent="0.25">
      <c r="Q157" s="195"/>
      <c r="R157" s="195"/>
      <c r="S157" s="195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</row>
    <row r="158" spans="17:45" s="54" customFormat="1" x14ac:dyDescent="0.25">
      <c r="Q158" s="195"/>
      <c r="R158" s="195"/>
      <c r="S158" s="195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</row>
    <row r="159" spans="17:45" s="54" customFormat="1" x14ac:dyDescent="0.25">
      <c r="Q159" s="195"/>
      <c r="R159" s="195"/>
      <c r="S159" s="195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</row>
    <row r="160" spans="17:45" s="54" customFormat="1" x14ac:dyDescent="0.25">
      <c r="Q160" s="195"/>
      <c r="R160" s="195"/>
      <c r="S160" s="195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</row>
    <row r="161" spans="17:45" s="54" customFormat="1" x14ac:dyDescent="0.25">
      <c r="Q161" s="195"/>
      <c r="R161" s="195"/>
      <c r="S161" s="195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</row>
    <row r="162" spans="17:45" s="54" customFormat="1" x14ac:dyDescent="0.25">
      <c r="Q162" s="195"/>
      <c r="R162" s="195"/>
      <c r="S162" s="195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</row>
    <row r="163" spans="17:45" s="54" customFormat="1" x14ac:dyDescent="0.25">
      <c r="Q163" s="195"/>
      <c r="R163" s="195"/>
      <c r="S163" s="195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</row>
    <row r="164" spans="17:45" s="54" customFormat="1" x14ac:dyDescent="0.25">
      <c r="Q164" s="195"/>
      <c r="R164" s="195"/>
      <c r="S164" s="195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</row>
    <row r="165" spans="17:45" s="54" customFormat="1" x14ac:dyDescent="0.25">
      <c r="Q165" s="195"/>
      <c r="R165" s="195"/>
      <c r="S165" s="195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</row>
    <row r="166" spans="17:45" s="54" customFormat="1" x14ac:dyDescent="0.25">
      <c r="Q166" s="195"/>
      <c r="R166" s="195"/>
      <c r="S166" s="195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</row>
    <row r="167" spans="17:45" s="54" customFormat="1" x14ac:dyDescent="0.25">
      <c r="Q167" s="195"/>
      <c r="R167" s="195"/>
      <c r="S167" s="195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</row>
    <row r="168" spans="17:45" s="54" customFormat="1" x14ac:dyDescent="0.25">
      <c r="Q168" s="195"/>
      <c r="R168" s="195"/>
      <c r="S168" s="195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</row>
    <row r="169" spans="17:45" s="54" customFormat="1" x14ac:dyDescent="0.25">
      <c r="Q169" s="195"/>
      <c r="R169" s="195"/>
      <c r="S169" s="195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</row>
    <row r="170" spans="17:45" s="54" customFormat="1" x14ac:dyDescent="0.25">
      <c r="Q170" s="195"/>
      <c r="R170" s="195"/>
      <c r="S170" s="195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</row>
    <row r="171" spans="17:45" s="54" customFormat="1" x14ac:dyDescent="0.25">
      <c r="Q171" s="195"/>
      <c r="R171" s="195"/>
      <c r="S171" s="195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</row>
    <row r="172" spans="17:45" s="54" customFormat="1" x14ac:dyDescent="0.25">
      <c r="Q172" s="195"/>
      <c r="R172" s="195"/>
      <c r="S172" s="195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</row>
    <row r="173" spans="17:45" s="54" customFormat="1" x14ac:dyDescent="0.25">
      <c r="Q173" s="195"/>
      <c r="R173" s="195"/>
      <c r="S173" s="195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</row>
    <row r="174" spans="17:45" s="54" customFormat="1" x14ac:dyDescent="0.25">
      <c r="Q174" s="195"/>
      <c r="R174" s="195"/>
      <c r="S174" s="195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</row>
    <row r="175" spans="17:45" s="54" customFormat="1" x14ac:dyDescent="0.25">
      <c r="Q175" s="195"/>
      <c r="R175" s="195"/>
      <c r="S175" s="195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</row>
    <row r="176" spans="17:45" s="54" customFormat="1" x14ac:dyDescent="0.25">
      <c r="Q176" s="195"/>
      <c r="R176" s="195"/>
      <c r="S176" s="195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</row>
    <row r="177" spans="17:45" s="54" customFormat="1" x14ac:dyDescent="0.25">
      <c r="Q177" s="195"/>
      <c r="R177" s="195"/>
      <c r="S177" s="195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</row>
    <row r="178" spans="17:45" s="54" customFormat="1" x14ac:dyDescent="0.25">
      <c r="Q178" s="195"/>
      <c r="R178" s="195"/>
      <c r="S178" s="195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</row>
    <row r="179" spans="17:45" s="54" customFormat="1" x14ac:dyDescent="0.25">
      <c r="Q179" s="195"/>
      <c r="R179" s="195"/>
      <c r="S179" s="195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</row>
    <row r="180" spans="17:45" s="54" customFormat="1" x14ac:dyDescent="0.25">
      <c r="Q180" s="195"/>
      <c r="R180" s="195"/>
      <c r="S180" s="195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</row>
    <row r="181" spans="17:45" s="54" customFormat="1" x14ac:dyDescent="0.25">
      <c r="Q181" s="195"/>
      <c r="R181" s="195"/>
      <c r="S181" s="195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</row>
    <row r="182" spans="17:45" s="54" customFormat="1" x14ac:dyDescent="0.25">
      <c r="Q182" s="195"/>
      <c r="R182" s="195"/>
      <c r="S182" s="195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</row>
    <row r="183" spans="17:45" s="54" customFormat="1" x14ac:dyDescent="0.25">
      <c r="Q183" s="195"/>
      <c r="R183" s="195"/>
      <c r="S183" s="195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</row>
    <row r="184" spans="17:45" s="54" customFormat="1" x14ac:dyDescent="0.25">
      <c r="Q184" s="195"/>
      <c r="R184" s="195"/>
      <c r="S184" s="195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</row>
    <row r="185" spans="17:45" s="54" customFormat="1" x14ac:dyDescent="0.25">
      <c r="Q185" s="195"/>
      <c r="R185" s="195"/>
      <c r="S185" s="195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</row>
    <row r="186" spans="17:45" s="54" customFormat="1" x14ac:dyDescent="0.25">
      <c r="Q186" s="195"/>
      <c r="R186" s="195"/>
      <c r="S186" s="195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</row>
    <row r="187" spans="17:45" s="54" customFormat="1" x14ac:dyDescent="0.25">
      <c r="Q187" s="195"/>
      <c r="R187" s="195"/>
      <c r="S187" s="195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</row>
    <row r="188" spans="17:45" s="54" customFormat="1" x14ac:dyDescent="0.25">
      <c r="Q188" s="195"/>
      <c r="R188" s="195"/>
      <c r="S188" s="195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</row>
    <row r="189" spans="17:45" s="54" customFormat="1" x14ac:dyDescent="0.25">
      <c r="Q189" s="195"/>
      <c r="R189" s="195"/>
      <c r="S189" s="195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</row>
    <row r="190" spans="17:45" s="54" customFormat="1" x14ac:dyDescent="0.25">
      <c r="Q190" s="195"/>
      <c r="R190" s="195"/>
      <c r="S190" s="195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</row>
    <row r="191" spans="17:45" s="54" customFormat="1" x14ac:dyDescent="0.25">
      <c r="Q191" s="195"/>
      <c r="R191" s="195"/>
      <c r="S191" s="195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</row>
    <row r="192" spans="17:45" s="54" customFormat="1" x14ac:dyDescent="0.25">
      <c r="Q192" s="195"/>
      <c r="R192" s="195"/>
      <c r="S192" s="195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</row>
    <row r="193" spans="17:45" s="54" customFormat="1" x14ac:dyDescent="0.25">
      <c r="Q193" s="195"/>
      <c r="R193" s="195"/>
      <c r="S193" s="195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</row>
    <row r="194" spans="17:45" s="54" customFormat="1" x14ac:dyDescent="0.25">
      <c r="Q194" s="195"/>
      <c r="R194" s="195"/>
      <c r="S194" s="195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</row>
    <row r="195" spans="17:45" s="54" customFormat="1" x14ac:dyDescent="0.25">
      <c r="Q195" s="195"/>
      <c r="R195" s="195"/>
      <c r="S195" s="195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</row>
    <row r="196" spans="17:45" s="54" customFormat="1" x14ac:dyDescent="0.25">
      <c r="Q196" s="195"/>
      <c r="R196" s="195"/>
      <c r="S196" s="195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</row>
    <row r="197" spans="17:45" s="54" customFormat="1" x14ac:dyDescent="0.25">
      <c r="Q197" s="195"/>
      <c r="R197" s="195"/>
      <c r="S197" s="195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</row>
    <row r="198" spans="17:45" s="54" customFormat="1" x14ac:dyDescent="0.25">
      <c r="Q198" s="195"/>
      <c r="R198" s="195"/>
      <c r="S198" s="195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</row>
    <row r="199" spans="17:45" s="54" customFormat="1" x14ac:dyDescent="0.25">
      <c r="Q199" s="195"/>
      <c r="R199" s="195"/>
      <c r="S199" s="195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</row>
    <row r="200" spans="17:45" s="54" customFormat="1" x14ac:dyDescent="0.25">
      <c r="Q200" s="195"/>
      <c r="R200" s="195"/>
      <c r="S200" s="195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</row>
    <row r="201" spans="17:45" s="54" customFormat="1" x14ac:dyDescent="0.25">
      <c r="Q201" s="195"/>
      <c r="R201" s="195"/>
      <c r="S201" s="195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</row>
    <row r="202" spans="17:45" s="54" customFormat="1" x14ac:dyDescent="0.25">
      <c r="Q202" s="195"/>
      <c r="R202" s="195"/>
      <c r="S202" s="195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</row>
    <row r="203" spans="17:45" s="54" customFormat="1" x14ac:dyDescent="0.25">
      <c r="Q203" s="195"/>
      <c r="R203" s="195"/>
      <c r="S203" s="195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</row>
    <row r="204" spans="17:45" s="54" customFormat="1" x14ac:dyDescent="0.25">
      <c r="Q204" s="195"/>
      <c r="R204" s="195"/>
      <c r="S204" s="195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</row>
    <row r="205" spans="17:45" s="54" customFormat="1" x14ac:dyDescent="0.25">
      <c r="Q205" s="195"/>
      <c r="R205" s="195"/>
      <c r="S205" s="195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</row>
    <row r="206" spans="17:45" s="54" customFormat="1" x14ac:dyDescent="0.25">
      <c r="Q206" s="195"/>
      <c r="R206" s="195"/>
      <c r="S206" s="195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</row>
    <row r="207" spans="17:45" s="54" customFormat="1" x14ac:dyDescent="0.25">
      <c r="Q207" s="195"/>
      <c r="R207" s="195"/>
      <c r="S207" s="195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</row>
    <row r="208" spans="17:45" s="54" customFormat="1" x14ac:dyDescent="0.25">
      <c r="Q208" s="195"/>
      <c r="R208" s="195"/>
      <c r="S208" s="195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</row>
    <row r="209" spans="17:45" s="54" customFormat="1" x14ac:dyDescent="0.25">
      <c r="Q209" s="195"/>
      <c r="R209" s="195"/>
      <c r="S209" s="195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</row>
    <row r="210" spans="17:45" s="54" customFormat="1" x14ac:dyDescent="0.25">
      <c r="Q210" s="195"/>
      <c r="R210" s="195"/>
      <c r="S210" s="195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</row>
    <row r="211" spans="17:45" s="54" customFormat="1" x14ac:dyDescent="0.25">
      <c r="Q211" s="195"/>
      <c r="R211" s="195"/>
      <c r="S211" s="195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</row>
    <row r="212" spans="17:45" s="54" customFormat="1" x14ac:dyDescent="0.25">
      <c r="Q212" s="195"/>
      <c r="R212" s="195"/>
      <c r="S212" s="195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</row>
    <row r="213" spans="17:45" s="54" customFormat="1" x14ac:dyDescent="0.25">
      <c r="Q213" s="195"/>
      <c r="R213" s="195"/>
      <c r="S213" s="195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</row>
    <row r="214" spans="17:45" s="54" customFormat="1" x14ac:dyDescent="0.25">
      <c r="Q214" s="195"/>
      <c r="R214" s="195"/>
      <c r="S214" s="195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</row>
    <row r="215" spans="17:45" s="54" customFormat="1" x14ac:dyDescent="0.25">
      <c r="Q215" s="195"/>
      <c r="R215" s="195"/>
      <c r="S215" s="195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</row>
    <row r="216" spans="17:45" s="54" customFormat="1" x14ac:dyDescent="0.25">
      <c r="Q216" s="195"/>
      <c r="R216" s="195"/>
      <c r="S216" s="195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</row>
    <row r="217" spans="17:45" s="54" customFormat="1" x14ac:dyDescent="0.25">
      <c r="Q217" s="195"/>
      <c r="R217" s="195"/>
      <c r="S217" s="195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</row>
    <row r="218" spans="17:45" s="54" customFormat="1" x14ac:dyDescent="0.25">
      <c r="Q218" s="195"/>
      <c r="R218" s="195"/>
      <c r="S218" s="195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</row>
    <row r="219" spans="17:45" s="54" customFormat="1" x14ac:dyDescent="0.25">
      <c r="Q219" s="195"/>
      <c r="R219" s="195"/>
      <c r="S219" s="195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</row>
    <row r="220" spans="17:45" s="54" customFormat="1" x14ac:dyDescent="0.25">
      <c r="Q220" s="195"/>
      <c r="R220" s="195"/>
      <c r="S220" s="195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</row>
    <row r="221" spans="17:45" s="54" customFormat="1" x14ac:dyDescent="0.25">
      <c r="Q221" s="195"/>
      <c r="R221" s="195"/>
      <c r="S221" s="195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</row>
    <row r="222" spans="17:45" s="54" customFormat="1" x14ac:dyDescent="0.25">
      <c r="Q222" s="195"/>
      <c r="R222" s="195"/>
      <c r="S222" s="195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</row>
    <row r="223" spans="17:45" s="54" customFormat="1" x14ac:dyDescent="0.25">
      <c r="Q223" s="195"/>
      <c r="R223" s="195"/>
      <c r="S223" s="195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</row>
    <row r="224" spans="17:45" s="54" customFormat="1" x14ac:dyDescent="0.25">
      <c r="Q224" s="195"/>
      <c r="R224" s="195"/>
      <c r="S224" s="195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</row>
    <row r="225" spans="17:45" s="54" customFormat="1" x14ac:dyDescent="0.25">
      <c r="Q225" s="195"/>
      <c r="R225" s="195"/>
      <c r="S225" s="195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</row>
    <row r="226" spans="17:45" s="54" customFormat="1" x14ac:dyDescent="0.25">
      <c r="Q226" s="195"/>
      <c r="R226" s="195"/>
      <c r="S226" s="195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</row>
    <row r="227" spans="17:45" s="54" customFormat="1" x14ac:dyDescent="0.25">
      <c r="Q227" s="195"/>
      <c r="R227" s="195"/>
      <c r="S227" s="195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</row>
    <row r="228" spans="17:45" s="54" customFormat="1" x14ac:dyDescent="0.25">
      <c r="Q228" s="195"/>
      <c r="R228" s="195"/>
      <c r="S228" s="195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</row>
    <row r="229" spans="17:45" s="54" customFormat="1" x14ac:dyDescent="0.25">
      <c r="Q229" s="195"/>
      <c r="R229" s="195"/>
      <c r="S229" s="195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</row>
    <row r="230" spans="17:45" s="54" customFormat="1" x14ac:dyDescent="0.25">
      <c r="Q230" s="195"/>
      <c r="R230" s="195"/>
      <c r="S230" s="195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</row>
    <row r="231" spans="17:45" s="54" customFormat="1" x14ac:dyDescent="0.25">
      <c r="Q231" s="195"/>
      <c r="R231" s="195"/>
      <c r="S231" s="195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</row>
    <row r="232" spans="17:45" s="54" customFormat="1" x14ac:dyDescent="0.25">
      <c r="Q232" s="195"/>
      <c r="R232" s="195"/>
      <c r="S232" s="195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</row>
    <row r="233" spans="17:45" s="54" customFormat="1" x14ac:dyDescent="0.25">
      <c r="Q233" s="195"/>
      <c r="R233" s="195"/>
      <c r="S233" s="195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</row>
    <row r="234" spans="17:45" s="54" customFormat="1" x14ac:dyDescent="0.25">
      <c r="Q234" s="195"/>
      <c r="R234" s="195"/>
      <c r="S234" s="195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</row>
    <row r="235" spans="17:45" s="54" customFormat="1" x14ac:dyDescent="0.25">
      <c r="Q235" s="195"/>
      <c r="R235" s="195"/>
      <c r="S235" s="195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</row>
    <row r="236" spans="17:45" s="54" customFormat="1" x14ac:dyDescent="0.25">
      <c r="Q236" s="195"/>
      <c r="R236" s="195"/>
      <c r="S236" s="195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</row>
    <row r="237" spans="17:45" s="54" customFormat="1" x14ac:dyDescent="0.25">
      <c r="Q237" s="195"/>
      <c r="R237" s="195"/>
      <c r="S237" s="195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</row>
    <row r="238" spans="17:45" s="54" customFormat="1" x14ac:dyDescent="0.25">
      <c r="Q238" s="195"/>
      <c r="R238" s="195"/>
      <c r="S238" s="195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</row>
    <row r="239" spans="17:45" s="54" customFormat="1" x14ac:dyDescent="0.25">
      <c r="Q239" s="195"/>
      <c r="R239" s="195"/>
      <c r="S239" s="195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</row>
    <row r="240" spans="17:45" s="54" customFormat="1" x14ac:dyDescent="0.25">
      <c r="Q240" s="195"/>
      <c r="R240" s="195"/>
      <c r="S240" s="195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</row>
    <row r="241" spans="17:45" s="54" customFormat="1" x14ac:dyDescent="0.25">
      <c r="Q241" s="195"/>
      <c r="R241" s="195"/>
      <c r="S241" s="195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</row>
    <row r="242" spans="17:45" s="54" customFormat="1" x14ac:dyDescent="0.25">
      <c r="Q242" s="195"/>
      <c r="R242" s="195"/>
      <c r="S242" s="195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</row>
    <row r="243" spans="17:45" s="54" customFormat="1" x14ac:dyDescent="0.25">
      <c r="Q243" s="195"/>
      <c r="R243" s="195"/>
      <c r="S243" s="195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</row>
    <row r="244" spans="17:45" s="54" customFormat="1" x14ac:dyDescent="0.25">
      <c r="Q244" s="195"/>
      <c r="R244" s="195"/>
      <c r="S244" s="195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</row>
    <row r="245" spans="17:45" s="54" customFormat="1" x14ac:dyDescent="0.25">
      <c r="Q245" s="195"/>
      <c r="R245" s="195"/>
      <c r="S245" s="195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</row>
    <row r="246" spans="17:45" s="54" customFormat="1" x14ac:dyDescent="0.25">
      <c r="Q246" s="195"/>
      <c r="R246" s="195"/>
      <c r="S246" s="195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</row>
    <row r="247" spans="17:45" s="54" customFormat="1" x14ac:dyDescent="0.25">
      <c r="Q247" s="195"/>
      <c r="R247" s="195"/>
      <c r="S247" s="195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</row>
    <row r="248" spans="17:45" s="54" customFormat="1" x14ac:dyDescent="0.25">
      <c r="Q248" s="195"/>
      <c r="R248" s="195"/>
      <c r="S248" s="195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</row>
    <row r="249" spans="17:45" s="54" customFormat="1" x14ac:dyDescent="0.25">
      <c r="Q249" s="195"/>
      <c r="R249" s="195"/>
      <c r="S249" s="195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</row>
    <row r="250" spans="17:45" s="54" customFormat="1" x14ac:dyDescent="0.25">
      <c r="Q250" s="195"/>
      <c r="R250" s="195"/>
      <c r="S250" s="195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</row>
    <row r="251" spans="17:45" s="54" customFormat="1" x14ac:dyDescent="0.25">
      <c r="Q251" s="195"/>
      <c r="R251" s="195"/>
      <c r="S251" s="195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</row>
    <row r="252" spans="17:45" s="54" customFormat="1" x14ac:dyDescent="0.25">
      <c r="Q252" s="195"/>
      <c r="R252" s="195"/>
      <c r="S252" s="195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</row>
    <row r="253" spans="17:45" s="54" customFormat="1" x14ac:dyDescent="0.25">
      <c r="Q253" s="195"/>
      <c r="R253" s="195"/>
      <c r="S253" s="195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</row>
    <row r="254" spans="17:45" s="54" customFormat="1" x14ac:dyDescent="0.25">
      <c r="Q254" s="195"/>
      <c r="R254" s="195"/>
      <c r="S254" s="195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</row>
    <row r="255" spans="17:45" s="54" customFormat="1" x14ac:dyDescent="0.25">
      <c r="Q255" s="195"/>
      <c r="R255" s="195"/>
      <c r="S255" s="195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</row>
    <row r="256" spans="17:45" s="54" customFormat="1" x14ac:dyDescent="0.25">
      <c r="Q256" s="195"/>
      <c r="R256" s="195"/>
      <c r="S256" s="195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</row>
    <row r="257" spans="17:45" s="54" customFormat="1" x14ac:dyDescent="0.25">
      <c r="Q257" s="195"/>
      <c r="R257" s="195"/>
      <c r="S257" s="195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</row>
    <row r="258" spans="17:45" s="54" customFormat="1" x14ac:dyDescent="0.25">
      <c r="Q258" s="195"/>
      <c r="R258" s="195"/>
      <c r="S258" s="195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</row>
    <row r="259" spans="17:45" s="54" customFormat="1" x14ac:dyDescent="0.25">
      <c r="Q259" s="195"/>
      <c r="R259" s="195"/>
      <c r="S259" s="195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</row>
    <row r="260" spans="17:45" s="54" customFormat="1" x14ac:dyDescent="0.25">
      <c r="Q260" s="195"/>
      <c r="R260" s="195"/>
      <c r="S260" s="195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</row>
    <row r="261" spans="17:45" s="54" customFormat="1" x14ac:dyDescent="0.25">
      <c r="Q261" s="195"/>
      <c r="R261" s="195"/>
      <c r="S261" s="195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</row>
    <row r="262" spans="17:45" s="54" customFormat="1" x14ac:dyDescent="0.25">
      <c r="Q262" s="195"/>
      <c r="R262" s="195"/>
      <c r="S262" s="195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</row>
    <row r="263" spans="17:45" s="54" customFormat="1" x14ac:dyDescent="0.25">
      <c r="Q263" s="195"/>
      <c r="R263" s="195"/>
      <c r="S263" s="195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</row>
    <row r="264" spans="17:45" s="54" customFormat="1" x14ac:dyDescent="0.25">
      <c r="Q264" s="195"/>
      <c r="R264" s="195"/>
      <c r="S264" s="195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</row>
    <row r="265" spans="17:45" s="54" customFormat="1" x14ac:dyDescent="0.25">
      <c r="Q265" s="195"/>
      <c r="R265" s="195"/>
      <c r="S265" s="195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</row>
    <row r="266" spans="17:45" s="54" customFormat="1" x14ac:dyDescent="0.25">
      <c r="Q266" s="195"/>
      <c r="R266" s="195"/>
      <c r="S266" s="195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</row>
    <row r="267" spans="17:45" s="54" customFormat="1" x14ac:dyDescent="0.25">
      <c r="Q267" s="195"/>
      <c r="R267" s="195"/>
      <c r="S267" s="195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</row>
    <row r="268" spans="17:45" s="54" customFormat="1" x14ac:dyDescent="0.25">
      <c r="Q268" s="195"/>
      <c r="R268" s="195"/>
      <c r="S268" s="195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</row>
    <row r="269" spans="17:45" s="54" customFormat="1" x14ac:dyDescent="0.25">
      <c r="Q269" s="195"/>
      <c r="R269" s="195"/>
      <c r="S269" s="195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</row>
    <row r="270" spans="17:45" s="54" customFormat="1" x14ac:dyDescent="0.25">
      <c r="Q270" s="195"/>
      <c r="R270" s="195"/>
      <c r="S270" s="195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</row>
    <row r="271" spans="17:45" s="54" customFormat="1" x14ac:dyDescent="0.25">
      <c r="Q271" s="195"/>
      <c r="R271" s="195"/>
      <c r="S271" s="195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</row>
    <row r="272" spans="17:45" s="54" customFormat="1" x14ac:dyDescent="0.25">
      <c r="Q272" s="195"/>
      <c r="R272" s="195"/>
      <c r="S272" s="195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</row>
    <row r="273" spans="17:45" s="54" customFormat="1" x14ac:dyDescent="0.25">
      <c r="Q273" s="195"/>
      <c r="R273" s="195"/>
      <c r="S273" s="195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</row>
    <row r="274" spans="17:45" s="54" customFormat="1" x14ac:dyDescent="0.25">
      <c r="Q274" s="195"/>
      <c r="R274" s="195"/>
      <c r="S274" s="195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</row>
    <row r="275" spans="17:45" s="54" customFormat="1" x14ac:dyDescent="0.25">
      <c r="Q275" s="195"/>
      <c r="R275" s="195"/>
      <c r="S275" s="195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</row>
    <row r="276" spans="17:45" s="54" customFormat="1" x14ac:dyDescent="0.25">
      <c r="Q276" s="195"/>
      <c r="R276" s="195"/>
      <c r="S276" s="195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</row>
    <row r="277" spans="17:45" s="54" customFormat="1" x14ac:dyDescent="0.25">
      <c r="Q277" s="195"/>
      <c r="R277" s="195"/>
      <c r="S277" s="195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</row>
    <row r="278" spans="17:45" s="54" customFormat="1" x14ac:dyDescent="0.25">
      <c r="Q278" s="195"/>
      <c r="R278" s="195"/>
      <c r="S278" s="195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</row>
    <row r="279" spans="17:45" s="54" customFormat="1" x14ac:dyDescent="0.25">
      <c r="Q279" s="195"/>
      <c r="R279" s="195"/>
      <c r="S279" s="195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</row>
    <row r="280" spans="17:45" s="54" customFormat="1" x14ac:dyDescent="0.25">
      <c r="Q280" s="195"/>
      <c r="R280" s="195"/>
      <c r="S280" s="195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</row>
    <row r="281" spans="17:45" s="54" customFormat="1" x14ac:dyDescent="0.25">
      <c r="Q281" s="195"/>
      <c r="R281" s="195"/>
      <c r="S281" s="195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</row>
    <row r="282" spans="17:45" s="54" customFormat="1" x14ac:dyDescent="0.25">
      <c r="Q282" s="195"/>
      <c r="R282" s="195"/>
      <c r="S282" s="195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</row>
    <row r="283" spans="17:45" s="54" customFormat="1" x14ac:dyDescent="0.25">
      <c r="Q283" s="195"/>
      <c r="R283" s="195"/>
      <c r="S283" s="195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</row>
    <row r="284" spans="17:45" s="54" customFormat="1" x14ac:dyDescent="0.25">
      <c r="Q284" s="195"/>
      <c r="R284" s="195"/>
      <c r="S284" s="195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</row>
    <row r="285" spans="17:45" s="54" customFormat="1" x14ac:dyDescent="0.25">
      <c r="Q285" s="195"/>
      <c r="R285" s="195"/>
      <c r="S285" s="195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</row>
    <row r="286" spans="17:45" s="54" customFormat="1" x14ac:dyDescent="0.25">
      <c r="Q286" s="195"/>
      <c r="R286" s="195"/>
      <c r="S286" s="195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</row>
    <row r="287" spans="17:45" s="54" customFormat="1" x14ac:dyDescent="0.25">
      <c r="Q287" s="195"/>
      <c r="R287" s="195"/>
      <c r="S287" s="195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</row>
    <row r="288" spans="17:45" s="54" customFormat="1" x14ac:dyDescent="0.25">
      <c r="Q288" s="195"/>
      <c r="R288" s="195"/>
      <c r="S288" s="195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</row>
    <row r="289" spans="17:45" s="54" customFormat="1" x14ac:dyDescent="0.25">
      <c r="Q289" s="195"/>
      <c r="R289" s="195"/>
      <c r="S289" s="195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</row>
    <row r="290" spans="17:45" s="54" customFormat="1" x14ac:dyDescent="0.25">
      <c r="Q290" s="195"/>
      <c r="R290" s="195"/>
      <c r="S290" s="195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</row>
    <row r="291" spans="17:45" s="54" customFormat="1" x14ac:dyDescent="0.25">
      <c r="Q291" s="195"/>
      <c r="R291" s="195"/>
      <c r="S291" s="195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</row>
    <row r="292" spans="17:45" s="54" customFormat="1" x14ac:dyDescent="0.25">
      <c r="Q292" s="195"/>
      <c r="R292" s="195"/>
      <c r="S292" s="195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</row>
    <row r="293" spans="17:45" s="54" customFormat="1" x14ac:dyDescent="0.25">
      <c r="Q293" s="195"/>
      <c r="R293" s="195"/>
      <c r="S293" s="195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</row>
    <row r="294" spans="17:45" s="54" customFormat="1" x14ac:dyDescent="0.25">
      <c r="Q294" s="195"/>
      <c r="R294" s="195"/>
      <c r="S294" s="195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</row>
    <row r="295" spans="17:45" s="54" customFormat="1" x14ac:dyDescent="0.25">
      <c r="Q295" s="195"/>
      <c r="R295" s="195"/>
      <c r="S295" s="195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</row>
    <row r="296" spans="17:45" s="54" customFormat="1" x14ac:dyDescent="0.25">
      <c r="Q296" s="195"/>
      <c r="R296" s="195"/>
      <c r="S296" s="195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</row>
    <row r="297" spans="17:45" s="54" customFormat="1" x14ac:dyDescent="0.25">
      <c r="Q297" s="195"/>
      <c r="R297" s="195"/>
      <c r="S297" s="195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</row>
    <row r="298" spans="17:45" s="54" customFormat="1" x14ac:dyDescent="0.25">
      <c r="Q298" s="195"/>
      <c r="R298" s="195"/>
      <c r="S298" s="195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</row>
    <row r="299" spans="17:45" s="54" customFormat="1" x14ac:dyDescent="0.25">
      <c r="Q299" s="195"/>
      <c r="R299" s="195"/>
      <c r="S299" s="195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</row>
    <row r="300" spans="17:45" s="54" customFormat="1" x14ac:dyDescent="0.25">
      <c r="Q300" s="195"/>
      <c r="R300" s="195"/>
      <c r="S300" s="195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</row>
    <row r="301" spans="17:45" s="54" customFormat="1" x14ac:dyDescent="0.25">
      <c r="Q301" s="195"/>
      <c r="R301" s="195"/>
      <c r="S301" s="195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</row>
    <row r="302" spans="17:45" s="54" customFormat="1" x14ac:dyDescent="0.25">
      <c r="Q302" s="195"/>
      <c r="R302" s="195"/>
      <c r="S302" s="195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</row>
    <row r="303" spans="17:45" s="54" customFormat="1" x14ac:dyDescent="0.25">
      <c r="Q303" s="195"/>
      <c r="R303" s="195"/>
      <c r="S303" s="195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</row>
    <row r="304" spans="17:45" s="54" customFormat="1" x14ac:dyDescent="0.25">
      <c r="Q304" s="195"/>
      <c r="R304" s="195"/>
      <c r="S304" s="195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</row>
    <row r="305" spans="17:45" s="54" customFormat="1" x14ac:dyDescent="0.25">
      <c r="Q305" s="195"/>
      <c r="R305" s="195"/>
      <c r="S305" s="195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</row>
    <row r="306" spans="17:45" s="54" customFormat="1" x14ac:dyDescent="0.25">
      <c r="Q306" s="195"/>
      <c r="R306" s="195"/>
      <c r="S306" s="195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</row>
    <row r="307" spans="17:45" s="54" customFormat="1" x14ac:dyDescent="0.25">
      <c r="Q307" s="195"/>
      <c r="R307" s="195"/>
      <c r="S307" s="195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</row>
    <row r="308" spans="17:45" s="54" customFormat="1" x14ac:dyDescent="0.25">
      <c r="Q308" s="195"/>
      <c r="R308" s="195"/>
      <c r="S308" s="195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</row>
    <row r="309" spans="17:45" s="54" customFormat="1" x14ac:dyDescent="0.25">
      <c r="Q309" s="195"/>
      <c r="R309" s="195"/>
      <c r="S309" s="195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</row>
    <row r="310" spans="17:45" s="54" customFormat="1" x14ac:dyDescent="0.25">
      <c r="Q310" s="195"/>
      <c r="R310" s="195"/>
      <c r="S310" s="195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</row>
    <row r="311" spans="17:45" s="54" customFormat="1" x14ac:dyDescent="0.25">
      <c r="Q311" s="195"/>
      <c r="R311" s="195"/>
      <c r="S311" s="195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</row>
    <row r="312" spans="17:45" s="54" customFormat="1" x14ac:dyDescent="0.25">
      <c r="Q312" s="195"/>
      <c r="R312" s="195"/>
      <c r="S312" s="195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</row>
    <row r="313" spans="17:45" s="54" customFormat="1" x14ac:dyDescent="0.25">
      <c r="Q313" s="195"/>
      <c r="R313" s="195"/>
      <c r="S313" s="195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</row>
    <row r="314" spans="17:45" s="54" customFormat="1" x14ac:dyDescent="0.25">
      <c r="Q314" s="195"/>
      <c r="R314" s="195"/>
      <c r="S314" s="195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</row>
    <row r="315" spans="17:45" s="54" customFormat="1" x14ac:dyDescent="0.25">
      <c r="Q315" s="195"/>
      <c r="R315" s="195"/>
      <c r="S315" s="195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</row>
    <row r="316" spans="17:45" s="54" customFormat="1" x14ac:dyDescent="0.25">
      <c r="Q316" s="195"/>
      <c r="R316" s="195"/>
      <c r="S316" s="195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</row>
    <row r="317" spans="17:45" s="54" customFormat="1" x14ac:dyDescent="0.25">
      <c r="Q317" s="195"/>
      <c r="R317" s="195"/>
      <c r="S317" s="195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</row>
    <row r="318" spans="17:45" s="54" customFormat="1" x14ac:dyDescent="0.25">
      <c r="Q318" s="195"/>
      <c r="R318" s="195"/>
      <c r="S318" s="195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</row>
    <row r="319" spans="17:45" s="54" customFormat="1" x14ac:dyDescent="0.25">
      <c r="Q319" s="195"/>
      <c r="R319" s="195"/>
      <c r="S319" s="195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</row>
    <row r="320" spans="17:45" s="54" customFormat="1" x14ac:dyDescent="0.25">
      <c r="Q320" s="195"/>
      <c r="R320" s="195"/>
      <c r="S320" s="195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</row>
    <row r="321" spans="17:45" s="54" customFormat="1" x14ac:dyDescent="0.25">
      <c r="Q321" s="195"/>
      <c r="R321" s="195"/>
      <c r="S321" s="195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</row>
    <row r="322" spans="17:45" s="54" customFormat="1" x14ac:dyDescent="0.25">
      <c r="Q322" s="195"/>
      <c r="R322" s="195"/>
      <c r="S322" s="195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</row>
    <row r="323" spans="17:45" s="54" customFormat="1" x14ac:dyDescent="0.25">
      <c r="Q323" s="195"/>
      <c r="R323" s="195"/>
      <c r="S323" s="195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</row>
    <row r="324" spans="17:45" s="54" customFormat="1" x14ac:dyDescent="0.25">
      <c r="Q324" s="195"/>
      <c r="R324" s="195"/>
      <c r="S324" s="195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</row>
    <row r="325" spans="17:45" s="54" customFormat="1" x14ac:dyDescent="0.25">
      <c r="Q325" s="195"/>
      <c r="R325" s="195"/>
      <c r="S325" s="195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</row>
    <row r="326" spans="17:45" s="54" customFormat="1" x14ac:dyDescent="0.25">
      <c r="Q326" s="195"/>
      <c r="R326" s="195"/>
      <c r="S326" s="195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</row>
    <row r="327" spans="17:45" s="54" customFormat="1" x14ac:dyDescent="0.25">
      <c r="Q327" s="195"/>
      <c r="R327" s="195"/>
      <c r="S327" s="195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</row>
    <row r="328" spans="17:45" s="54" customFormat="1" x14ac:dyDescent="0.25">
      <c r="Q328" s="195"/>
      <c r="R328" s="195"/>
      <c r="S328" s="195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</row>
    <row r="329" spans="17:45" s="54" customFormat="1" x14ac:dyDescent="0.25">
      <c r="Q329" s="195"/>
      <c r="R329" s="195"/>
      <c r="S329" s="195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</row>
    <row r="330" spans="17:45" s="54" customFormat="1" x14ac:dyDescent="0.25">
      <c r="Q330" s="195"/>
      <c r="R330" s="195"/>
      <c r="S330" s="195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</row>
    <row r="331" spans="17:45" s="54" customFormat="1" x14ac:dyDescent="0.25">
      <c r="Q331" s="195"/>
      <c r="R331" s="195"/>
      <c r="S331" s="195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</row>
    <row r="332" spans="17:45" s="54" customFormat="1" x14ac:dyDescent="0.25">
      <c r="Q332" s="195"/>
      <c r="R332" s="195"/>
      <c r="S332" s="195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</row>
    <row r="333" spans="17:45" s="54" customFormat="1" x14ac:dyDescent="0.25">
      <c r="Q333" s="195"/>
      <c r="R333" s="195"/>
      <c r="S333" s="195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</row>
    <row r="334" spans="17:45" s="54" customFormat="1" x14ac:dyDescent="0.25">
      <c r="Q334" s="195"/>
      <c r="R334" s="195"/>
      <c r="S334" s="195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</row>
    <row r="335" spans="17:45" s="54" customFormat="1" x14ac:dyDescent="0.25">
      <c r="Q335" s="195"/>
      <c r="R335" s="195"/>
      <c r="S335" s="195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</row>
    <row r="336" spans="17:45" s="54" customFormat="1" x14ac:dyDescent="0.25">
      <c r="Q336" s="195"/>
      <c r="R336" s="195"/>
      <c r="S336" s="195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</row>
    <row r="337" spans="17:45" s="54" customFormat="1" x14ac:dyDescent="0.25">
      <c r="Q337" s="195"/>
      <c r="R337" s="195"/>
      <c r="S337" s="195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</row>
    <row r="338" spans="17:45" s="54" customFormat="1" x14ac:dyDescent="0.25">
      <c r="Q338" s="195"/>
      <c r="R338" s="195"/>
      <c r="S338" s="195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</row>
    <row r="339" spans="17:45" s="54" customFormat="1" x14ac:dyDescent="0.25">
      <c r="Q339" s="195"/>
      <c r="R339" s="195"/>
      <c r="S339" s="195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</row>
    <row r="340" spans="17:45" s="54" customFormat="1" x14ac:dyDescent="0.25">
      <c r="Q340" s="195"/>
      <c r="R340" s="195"/>
      <c r="S340" s="195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</row>
    <row r="341" spans="17:45" s="54" customFormat="1" x14ac:dyDescent="0.25">
      <c r="Q341" s="195"/>
      <c r="R341" s="195"/>
      <c r="S341" s="195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</row>
    <row r="342" spans="17:45" s="54" customFormat="1" x14ac:dyDescent="0.25">
      <c r="Q342" s="195"/>
      <c r="R342" s="195"/>
      <c r="S342" s="195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</row>
    <row r="343" spans="17:45" s="54" customFormat="1" x14ac:dyDescent="0.25">
      <c r="Q343" s="195"/>
      <c r="R343" s="195"/>
      <c r="S343" s="195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</row>
    <row r="344" spans="17:45" s="54" customFormat="1" x14ac:dyDescent="0.25">
      <c r="Q344" s="195"/>
      <c r="R344" s="195"/>
      <c r="S344" s="195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</row>
    <row r="345" spans="17:45" s="54" customFormat="1" x14ac:dyDescent="0.25">
      <c r="Q345" s="195"/>
      <c r="R345" s="195"/>
      <c r="S345" s="195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</row>
    <row r="346" spans="17:45" s="54" customFormat="1" x14ac:dyDescent="0.25">
      <c r="Q346" s="195"/>
      <c r="R346" s="195"/>
      <c r="S346" s="195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</row>
    <row r="347" spans="17:45" s="54" customFormat="1" x14ac:dyDescent="0.25">
      <c r="Q347" s="195"/>
      <c r="R347" s="195"/>
      <c r="S347" s="195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</row>
    <row r="348" spans="17:45" s="54" customFormat="1" x14ac:dyDescent="0.25">
      <c r="Q348" s="195"/>
      <c r="R348" s="195"/>
      <c r="S348" s="195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</row>
    <row r="349" spans="17:45" s="54" customFormat="1" x14ac:dyDescent="0.25">
      <c r="Q349" s="195"/>
      <c r="R349" s="195"/>
      <c r="S349" s="195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</row>
    <row r="350" spans="17:45" s="54" customFormat="1" x14ac:dyDescent="0.25">
      <c r="Q350" s="195"/>
      <c r="R350" s="195"/>
      <c r="S350" s="195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</row>
    <row r="351" spans="17:45" s="54" customFormat="1" x14ac:dyDescent="0.25">
      <c r="Q351" s="195"/>
      <c r="R351" s="195"/>
      <c r="S351" s="195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</row>
    <row r="352" spans="17:45" s="54" customFormat="1" x14ac:dyDescent="0.25">
      <c r="Q352" s="195"/>
      <c r="R352" s="195"/>
      <c r="S352" s="195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</row>
    <row r="353" spans="17:45" s="54" customFormat="1" x14ac:dyDescent="0.25">
      <c r="Q353" s="195"/>
      <c r="R353" s="195"/>
      <c r="S353" s="195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</row>
    <row r="354" spans="17:45" s="54" customFormat="1" x14ac:dyDescent="0.25">
      <c r="Q354" s="195"/>
      <c r="R354" s="195"/>
      <c r="S354" s="195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</row>
    <row r="355" spans="17:45" s="54" customFormat="1" x14ac:dyDescent="0.25">
      <c r="Q355" s="195"/>
      <c r="R355" s="195"/>
      <c r="S355" s="195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</row>
    <row r="356" spans="17:45" s="54" customFormat="1" x14ac:dyDescent="0.25">
      <c r="Q356" s="195"/>
      <c r="R356" s="195"/>
      <c r="S356" s="195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</row>
    <row r="357" spans="17:45" s="54" customFormat="1" x14ac:dyDescent="0.25">
      <c r="Q357" s="195"/>
      <c r="R357" s="195"/>
      <c r="S357" s="195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</row>
    <row r="358" spans="17:45" s="54" customFormat="1" x14ac:dyDescent="0.25">
      <c r="Q358" s="195"/>
      <c r="R358" s="195"/>
      <c r="S358" s="195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</row>
    <row r="359" spans="17:45" s="54" customFormat="1" x14ac:dyDescent="0.25">
      <c r="Q359" s="195"/>
      <c r="R359" s="195"/>
      <c r="S359" s="195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</row>
    <row r="360" spans="17:45" s="54" customFormat="1" x14ac:dyDescent="0.25">
      <c r="Q360" s="195"/>
      <c r="R360" s="195"/>
      <c r="S360" s="195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</row>
    <row r="361" spans="17:45" s="54" customFormat="1" x14ac:dyDescent="0.25">
      <c r="Q361" s="195"/>
      <c r="R361" s="195"/>
      <c r="S361" s="195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</row>
    <row r="362" spans="17:45" s="54" customFormat="1" x14ac:dyDescent="0.25">
      <c r="Q362" s="195"/>
      <c r="R362" s="195"/>
      <c r="S362" s="195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</row>
    <row r="363" spans="17:45" s="54" customFormat="1" x14ac:dyDescent="0.25">
      <c r="Q363" s="195"/>
      <c r="R363" s="195"/>
      <c r="S363" s="195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</row>
    <row r="364" spans="17:45" s="54" customFormat="1" x14ac:dyDescent="0.25">
      <c r="Q364" s="195"/>
      <c r="R364" s="195"/>
      <c r="S364" s="195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</row>
    <row r="365" spans="17:45" s="54" customFormat="1" x14ac:dyDescent="0.25">
      <c r="Q365" s="195"/>
      <c r="R365" s="195"/>
      <c r="S365" s="195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</row>
    <row r="366" spans="17:45" s="54" customFormat="1" x14ac:dyDescent="0.25">
      <c r="Q366" s="195"/>
      <c r="R366" s="195"/>
      <c r="S366" s="195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</row>
    <row r="367" spans="17:45" s="54" customFormat="1" x14ac:dyDescent="0.25">
      <c r="Q367" s="195"/>
      <c r="R367" s="195"/>
      <c r="S367" s="195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</row>
    <row r="368" spans="17:45" s="54" customFormat="1" x14ac:dyDescent="0.25">
      <c r="Q368" s="195"/>
      <c r="R368" s="195"/>
      <c r="S368" s="195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</row>
    <row r="369" spans="17:45" s="54" customFormat="1" x14ac:dyDescent="0.25">
      <c r="Q369" s="195"/>
      <c r="R369" s="195"/>
      <c r="S369" s="195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</row>
    <row r="370" spans="17:45" s="54" customFormat="1" x14ac:dyDescent="0.25">
      <c r="Q370" s="195"/>
      <c r="R370" s="195"/>
      <c r="S370" s="195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</row>
    <row r="371" spans="17:45" s="54" customFormat="1" x14ac:dyDescent="0.25">
      <c r="Q371" s="195"/>
      <c r="R371" s="195"/>
      <c r="S371" s="195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</row>
    <row r="372" spans="17:45" s="54" customFormat="1" x14ac:dyDescent="0.25">
      <c r="Q372" s="195"/>
      <c r="R372" s="195"/>
      <c r="S372" s="195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</row>
    <row r="373" spans="17:45" s="54" customFormat="1" x14ac:dyDescent="0.25">
      <c r="Q373" s="195"/>
      <c r="R373" s="195"/>
      <c r="S373" s="195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</row>
    <row r="374" spans="17:45" s="54" customFormat="1" x14ac:dyDescent="0.25">
      <c r="Q374" s="195"/>
      <c r="R374" s="195"/>
      <c r="S374" s="195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</row>
    <row r="375" spans="17:45" s="54" customFormat="1" x14ac:dyDescent="0.25">
      <c r="Q375" s="195"/>
      <c r="R375" s="195"/>
      <c r="S375" s="195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</row>
    <row r="376" spans="17:45" s="54" customFormat="1" x14ac:dyDescent="0.25">
      <c r="Q376" s="195"/>
      <c r="R376" s="195"/>
      <c r="S376" s="195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</row>
    <row r="377" spans="17:45" s="54" customFormat="1" x14ac:dyDescent="0.25">
      <c r="Q377" s="195"/>
      <c r="R377" s="195"/>
      <c r="S377" s="195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</row>
    <row r="378" spans="17:45" s="54" customFormat="1" x14ac:dyDescent="0.25">
      <c r="Q378" s="195"/>
      <c r="R378" s="195"/>
      <c r="S378" s="195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</row>
    <row r="379" spans="17:45" s="54" customFormat="1" x14ac:dyDescent="0.25">
      <c r="Q379" s="195"/>
      <c r="R379" s="195"/>
      <c r="S379" s="195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</row>
    <row r="380" spans="17:45" s="54" customFormat="1" x14ac:dyDescent="0.25">
      <c r="Q380" s="195"/>
      <c r="R380" s="195"/>
      <c r="S380" s="195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</row>
    <row r="381" spans="17:45" s="54" customFormat="1" x14ac:dyDescent="0.25">
      <c r="Q381" s="195"/>
      <c r="R381" s="195"/>
      <c r="S381" s="195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</row>
    <row r="382" spans="17:45" s="54" customFormat="1" x14ac:dyDescent="0.25">
      <c r="Q382" s="195"/>
      <c r="R382" s="195"/>
      <c r="S382" s="195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</row>
    <row r="383" spans="17:45" s="54" customFormat="1" x14ac:dyDescent="0.25">
      <c r="Q383" s="195"/>
      <c r="R383" s="195"/>
      <c r="S383" s="195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</row>
    <row r="384" spans="17:45" s="54" customFormat="1" x14ac:dyDescent="0.25">
      <c r="Q384" s="195"/>
      <c r="R384" s="195"/>
      <c r="S384" s="195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</row>
    <row r="385" spans="17:45" s="54" customFormat="1" x14ac:dyDescent="0.25">
      <c r="Q385" s="195"/>
      <c r="R385" s="195"/>
      <c r="S385" s="195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</row>
    <row r="386" spans="17:45" s="54" customFormat="1" x14ac:dyDescent="0.25">
      <c r="Q386" s="195"/>
      <c r="R386" s="195"/>
      <c r="S386" s="195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</row>
    <row r="387" spans="17:45" s="54" customFormat="1" x14ac:dyDescent="0.25">
      <c r="Q387" s="195"/>
      <c r="R387" s="195"/>
      <c r="S387" s="195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</row>
    <row r="388" spans="17:45" s="54" customFormat="1" x14ac:dyDescent="0.25">
      <c r="Q388" s="195"/>
      <c r="R388" s="195"/>
      <c r="S388" s="195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</row>
    <row r="389" spans="17:45" s="54" customFormat="1" x14ac:dyDescent="0.25">
      <c r="Q389" s="195"/>
      <c r="R389" s="195"/>
      <c r="S389" s="195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</row>
    <row r="390" spans="17:45" s="54" customFormat="1" x14ac:dyDescent="0.25">
      <c r="Q390" s="195"/>
      <c r="R390" s="195"/>
      <c r="S390" s="195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</row>
    <row r="391" spans="17:45" s="54" customFormat="1" x14ac:dyDescent="0.25">
      <c r="Q391" s="195"/>
      <c r="R391" s="195"/>
      <c r="S391" s="195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</row>
    <row r="392" spans="17:45" s="54" customFormat="1" x14ac:dyDescent="0.25">
      <c r="Q392" s="195"/>
      <c r="R392" s="195"/>
      <c r="S392" s="195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</row>
    <row r="393" spans="17:45" s="54" customFormat="1" x14ac:dyDescent="0.25">
      <c r="Q393" s="195"/>
      <c r="R393" s="195"/>
      <c r="S393" s="195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</row>
    <row r="394" spans="17:45" s="54" customFormat="1" x14ac:dyDescent="0.25">
      <c r="Q394" s="195"/>
      <c r="R394" s="195"/>
      <c r="S394" s="195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</row>
    <row r="395" spans="17:45" s="54" customFormat="1" x14ac:dyDescent="0.25">
      <c r="Q395" s="195"/>
      <c r="R395" s="195"/>
      <c r="S395" s="195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</row>
    <row r="396" spans="17:45" s="54" customFormat="1" x14ac:dyDescent="0.25">
      <c r="Q396" s="195"/>
      <c r="R396" s="195"/>
      <c r="S396" s="195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</row>
    <row r="397" spans="17:45" s="54" customFormat="1" x14ac:dyDescent="0.25">
      <c r="Q397" s="195"/>
      <c r="R397" s="195"/>
      <c r="S397" s="195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</row>
    <row r="398" spans="17:45" s="54" customFormat="1" x14ac:dyDescent="0.25">
      <c r="Q398" s="195"/>
      <c r="R398" s="195"/>
      <c r="S398" s="195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</row>
    <row r="399" spans="17:45" s="54" customFormat="1" x14ac:dyDescent="0.25">
      <c r="Q399" s="195"/>
      <c r="R399" s="195"/>
      <c r="S399" s="195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</row>
    <row r="400" spans="17:45" s="54" customFormat="1" x14ac:dyDescent="0.25">
      <c r="Q400" s="195"/>
      <c r="R400" s="195"/>
      <c r="S400" s="195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</row>
    <row r="401" spans="17:45" s="54" customFormat="1" x14ac:dyDescent="0.25">
      <c r="Q401" s="195"/>
      <c r="R401" s="195"/>
      <c r="S401" s="195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</row>
    <row r="402" spans="17:45" s="54" customFormat="1" x14ac:dyDescent="0.25">
      <c r="Q402" s="195"/>
      <c r="R402" s="195"/>
      <c r="S402" s="195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</row>
    <row r="403" spans="17:45" s="54" customFormat="1" x14ac:dyDescent="0.25">
      <c r="Q403" s="195"/>
      <c r="R403" s="195"/>
      <c r="S403" s="195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</row>
    <row r="404" spans="17:45" s="54" customFormat="1" x14ac:dyDescent="0.25">
      <c r="Q404" s="195"/>
      <c r="R404" s="195"/>
      <c r="S404" s="195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</row>
    <row r="405" spans="17:45" s="54" customFormat="1" x14ac:dyDescent="0.25">
      <c r="Q405" s="195"/>
      <c r="R405" s="195"/>
      <c r="S405" s="195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</row>
    <row r="406" spans="17:45" s="54" customFormat="1" x14ac:dyDescent="0.25">
      <c r="Q406" s="195"/>
      <c r="R406" s="195"/>
      <c r="S406" s="195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</row>
    <row r="407" spans="17:45" s="54" customFormat="1" x14ac:dyDescent="0.25">
      <c r="Q407" s="195"/>
      <c r="R407" s="195"/>
      <c r="S407" s="195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</row>
    <row r="408" spans="17:45" s="54" customFormat="1" x14ac:dyDescent="0.25">
      <c r="Q408" s="195"/>
      <c r="R408" s="195"/>
      <c r="S408" s="195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</row>
    <row r="409" spans="17:45" s="54" customFormat="1" x14ac:dyDescent="0.25">
      <c r="Q409" s="195"/>
      <c r="R409" s="195"/>
      <c r="S409" s="195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</row>
    <row r="410" spans="17:45" s="54" customFormat="1" x14ac:dyDescent="0.25">
      <c r="Q410" s="195"/>
      <c r="R410" s="195"/>
      <c r="S410" s="195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</row>
    <row r="411" spans="17:45" s="54" customFormat="1" x14ac:dyDescent="0.25">
      <c r="Q411" s="195"/>
      <c r="R411" s="195"/>
      <c r="S411" s="195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</row>
    <row r="412" spans="17:45" s="54" customFormat="1" x14ac:dyDescent="0.25">
      <c r="Q412" s="195"/>
      <c r="R412" s="195"/>
      <c r="S412" s="195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</row>
    <row r="413" spans="17:45" s="54" customFormat="1" x14ac:dyDescent="0.25">
      <c r="Q413" s="195"/>
      <c r="R413" s="195"/>
      <c r="S413" s="195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</row>
    <row r="414" spans="17:45" s="54" customFormat="1" x14ac:dyDescent="0.25">
      <c r="Q414" s="195"/>
      <c r="R414" s="195"/>
      <c r="S414" s="195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</row>
    <row r="415" spans="17:45" s="54" customFormat="1" x14ac:dyDescent="0.25">
      <c r="Q415" s="195"/>
      <c r="R415" s="195"/>
      <c r="S415" s="195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</row>
    <row r="416" spans="17:45" s="54" customFormat="1" x14ac:dyDescent="0.25">
      <c r="Q416" s="195"/>
      <c r="R416" s="195"/>
      <c r="S416" s="195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</row>
    <row r="417" spans="17:45" s="54" customFormat="1" x14ac:dyDescent="0.25">
      <c r="Q417" s="195"/>
      <c r="R417" s="195"/>
      <c r="S417" s="195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</row>
    <row r="418" spans="17:45" s="54" customFormat="1" x14ac:dyDescent="0.25">
      <c r="Q418" s="195"/>
      <c r="R418" s="195"/>
      <c r="S418" s="195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</row>
    <row r="419" spans="17:45" s="54" customFormat="1" x14ac:dyDescent="0.25">
      <c r="Q419" s="195"/>
      <c r="R419" s="195"/>
      <c r="S419" s="195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</row>
    <row r="420" spans="17:45" s="54" customFormat="1" x14ac:dyDescent="0.25">
      <c r="Q420" s="195"/>
      <c r="R420" s="195"/>
      <c r="S420" s="195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</row>
    <row r="421" spans="17:45" s="54" customFormat="1" x14ac:dyDescent="0.25">
      <c r="Q421" s="195"/>
      <c r="R421" s="195"/>
      <c r="S421" s="195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</row>
    <row r="422" spans="17:45" s="54" customFormat="1" x14ac:dyDescent="0.25">
      <c r="Q422" s="195"/>
      <c r="R422" s="195"/>
      <c r="S422" s="195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</row>
    <row r="423" spans="17:45" s="54" customFormat="1" x14ac:dyDescent="0.25">
      <c r="Q423" s="195"/>
      <c r="R423" s="195"/>
      <c r="S423" s="195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</row>
    <row r="424" spans="17:45" s="54" customFormat="1" x14ac:dyDescent="0.25">
      <c r="Q424" s="195"/>
      <c r="R424" s="195"/>
      <c r="S424" s="195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</row>
    <row r="425" spans="17:45" s="54" customFormat="1" x14ac:dyDescent="0.25">
      <c r="Q425" s="195"/>
      <c r="R425" s="195"/>
      <c r="S425" s="195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</row>
    <row r="426" spans="17:45" s="54" customFormat="1" x14ac:dyDescent="0.25">
      <c r="Q426" s="195"/>
      <c r="R426" s="195"/>
      <c r="S426" s="195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</row>
    <row r="427" spans="17:45" s="54" customFormat="1" x14ac:dyDescent="0.25">
      <c r="Q427" s="195"/>
      <c r="R427" s="195"/>
      <c r="S427" s="195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</row>
    <row r="428" spans="17:45" s="54" customFormat="1" x14ac:dyDescent="0.25">
      <c r="Q428" s="195"/>
      <c r="R428" s="195"/>
      <c r="S428" s="195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</row>
    <row r="429" spans="17:45" s="54" customFormat="1" x14ac:dyDescent="0.25">
      <c r="Q429" s="195"/>
      <c r="R429" s="195"/>
      <c r="S429" s="195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</row>
    <row r="430" spans="17:45" s="54" customFormat="1" x14ac:dyDescent="0.25">
      <c r="Q430" s="195"/>
      <c r="R430" s="195"/>
      <c r="S430" s="195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</row>
    <row r="431" spans="17:45" s="54" customFormat="1" x14ac:dyDescent="0.25">
      <c r="Q431" s="195"/>
      <c r="R431" s="195"/>
      <c r="S431" s="195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</row>
    <row r="432" spans="17:45" s="54" customFormat="1" x14ac:dyDescent="0.25">
      <c r="Q432" s="195"/>
      <c r="R432" s="195"/>
      <c r="S432" s="195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</row>
    <row r="433" spans="17:45" s="54" customFormat="1" x14ac:dyDescent="0.25">
      <c r="Q433" s="195"/>
      <c r="R433" s="195"/>
      <c r="S433" s="195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</row>
    <row r="434" spans="17:45" s="54" customFormat="1" x14ac:dyDescent="0.25">
      <c r="Q434" s="195"/>
      <c r="R434" s="195"/>
      <c r="S434" s="195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</row>
    <row r="435" spans="17:45" s="54" customFormat="1" x14ac:dyDescent="0.25">
      <c r="Q435" s="195"/>
      <c r="R435" s="195"/>
      <c r="S435" s="195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</row>
    <row r="436" spans="17:45" s="54" customFormat="1" x14ac:dyDescent="0.25">
      <c r="Q436" s="195"/>
      <c r="R436" s="195"/>
      <c r="S436" s="195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</row>
    <row r="437" spans="17:45" s="54" customFormat="1" x14ac:dyDescent="0.25">
      <c r="Q437" s="195"/>
      <c r="R437" s="195"/>
      <c r="S437" s="195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</row>
    <row r="438" spans="17:45" s="54" customFormat="1" x14ac:dyDescent="0.25">
      <c r="Q438" s="195"/>
      <c r="R438" s="195"/>
      <c r="S438" s="195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</row>
    <row r="439" spans="17:45" s="54" customFormat="1" x14ac:dyDescent="0.25">
      <c r="Q439" s="195"/>
      <c r="R439" s="195"/>
      <c r="S439" s="195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</row>
    <row r="440" spans="17:45" s="54" customFormat="1" x14ac:dyDescent="0.25">
      <c r="Q440" s="195"/>
      <c r="R440" s="195"/>
      <c r="S440" s="195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</row>
    <row r="441" spans="17:45" s="54" customFormat="1" x14ac:dyDescent="0.25">
      <c r="Q441" s="195"/>
      <c r="R441" s="195"/>
      <c r="S441" s="195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</row>
    <row r="442" spans="17:45" s="54" customFormat="1" x14ac:dyDescent="0.25">
      <c r="Q442" s="195"/>
      <c r="R442" s="195"/>
      <c r="S442" s="195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</row>
    <row r="443" spans="17:45" s="54" customFormat="1" x14ac:dyDescent="0.25">
      <c r="Q443" s="195"/>
      <c r="R443" s="195"/>
      <c r="S443" s="195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</row>
    <row r="444" spans="17:45" s="54" customFormat="1" x14ac:dyDescent="0.25">
      <c r="Q444" s="195"/>
      <c r="R444" s="195"/>
      <c r="S444" s="195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</row>
    <row r="445" spans="17:45" s="54" customFormat="1" x14ac:dyDescent="0.25">
      <c r="Q445" s="195"/>
      <c r="R445" s="195"/>
      <c r="S445" s="195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</row>
    <row r="446" spans="17:45" s="54" customFormat="1" x14ac:dyDescent="0.25">
      <c r="Q446" s="195"/>
      <c r="R446" s="195"/>
      <c r="S446" s="195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</row>
    <row r="447" spans="17:45" s="54" customFormat="1" x14ac:dyDescent="0.25">
      <c r="Q447" s="195"/>
      <c r="R447" s="195"/>
      <c r="S447" s="195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</row>
    <row r="448" spans="17:45" s="54" customFormat="1" x14ac:dyDescent="0.25">
      <c r="Q448" s="195"/>
      <c r="R448" s="195"/>
      <c r="S448" s="195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</row>
    <row r="449" spans="17:45" s="54" customFormat="1" x14ac:dyDescent="0.25">
      <c r="Q449" s="195"/>
      <c r="R449" s="195"/>
      <c r="S449" s="195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</row>
    <row r="450" spans="17:45" s="54" customFormat="1" x14ac:dyDescent="0.25">
      <c r="Q450" s="195"/>
      <c r="R450" s="195"/>
      <c r="S450" s="195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</row>
    <row r="451" spans="17:45" s="54" customFormat="1" x14ac:dyDescent="0.25">
      <c r="Q451" s="195"/>
      <c r="R451" s="195"/>
      <c r="S451" s="195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</row>
    <row r="452" spans="17:45" s="54" customFormat="1" x14ac:dyDescent="0.25">
      <c r="Q452" s="195"/>
      <c r="R452" s="195"/>
      <c r="S452" s="195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</row>
    <row r="453" spans="17:45" s="54" customFormat="1" x14ac:dyDescent="0.25">
      <c r="Q453" s="195"/>
      <c r="R453" s="195"/>
      <c r="S453" s="195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</row>
    <row r="454" spans="17:45" s="54" customFormat="1" x14ac:dyDescent="0.25">
      <c r="Q454" s="195"/>
      <c r="R454" s="195"/>
      <c r="S454" s="195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</row>
    <row r="455" spans="17:45" s="54" customFormat="1" x14ac:dyDescent="0.25">
      <c r="Q455" s="195"/>
      <c r="R455" s="195"/>
      <c r="S455" s="195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</row>
    <row r="456" spans="17:45" s="54" customFormat="1" x14ac:dyDescent="0.25">
      <c r="Q456" s="195"/>
      <c r="R456" s="195"/>
      <c r="S456" s="195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</row>
    <row r="457" spans="17:45" s="54" customFormat="1" x14ac:dyDescent="0.25">
      <c r="Q457" s="195"/>
      <c r="R457" s="195"/>
      <c r="S457" s="195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</row>
    <row r="458" spans="17:45" s="54" customFormat="1" x14ac:dyDescent="0.25">
      <c r="Q458" s="195"/>
      <c r="R458" s="195"/>
      <c r="S458" s="195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  <c r="AQ458" s="90"/>
      <c r="AR458" s="90"/>
      <c r="AS458" s="90"/>
    </row>
    <row r="459" spans="17:45" s="54" customFormat="1" x14ac:dyDescent="0.25">
      <c r="Q459" s="195"/>
      <c r="R459" s="195"/>
      <c r="S459" s="195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</row>
    <row r="460" spans="17:45" s="54" customFormat="1" x14ac:dyDescent="0.25">
      <c r="Q460" s="195"/>
      <c r="R460" s="195"/>
      <c r="S460" s="195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  <c r="AQ460" s="90"/>
      <c r="AR460" s="90"/>
      <c r="AS460" s="90"/>
    </row>
    <row r="461" spans="17:45" s="54" customFormat="1" x14ac:dyDescent="0.25">
      <c r="Q461" s="195"/>
      <c r="R461" s="195"/>
      <c r="S461" s="195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</row>
    <row r="462" spans="17:45" s="54" customFormat="1" x14ac:dyDescent="0.25">
      <c r="Q462" s="195"/>
      <c r="R462" s="195"/>
      <c r="S462" s="195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  <c r="AQ462" s="90"/>
      <c r="AR462" s="90"/>
      <c r="AS462" s="90"/>
    </row>
    <row r="463" spans="17:45" s="54" customFormat="1" x14ac:dyDescent="0.25">
      <c r="Q463" s="195"/>
      <c r="R463" s="195"/>
      <c r="S463" s="195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</row>
    <row r="464" spans="17:45" s="54" customFormat="1" x14ac:dyDescent="0.25">
      <c r="Q464" s="195"/>
      <c r="R464" s="195"/>
      <c r="S464" s="195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90"/>
      <c r="AQ464" s="90"/>
      <c r="AR464" s="90"/>
      <c r="AS464" s="90"/>
    </row>
    <row r="465" spans="17:45" s="54" customFormat="1" x14ac:dyDescent="0.25">
      <c r="Q465" s="195"/>
      <c r="R465" s="195"/>
      <c r="S465" s="195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  <c r="AQ465" s="90"/>
      <c r="AR465" s="90"/>
      <c r="AS465" s="90"/>
    </row>
    <row r="466" spans="17:45" s="54" customFormat="1" x14ac:dyDescent="0.25">
      <c r="Q466" s="195"/>
      <c r="R466" s="195"/>
      <c r="S466" s="195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  <c r="AL466" s="90"/>
      <c r="AM466" s="90"/>
      <c r="AN466" s="90"/>
      <c r="AO466" s="90"/>
      <c r="AP466" s="90"/>
      <c r="AQ466" s="90"/>
      <c r="AR466" s="90"/>
      <c r="AS466" s="90"/>
    </row>
  </sheetData>
  <autoFilter ref="A14:BN60" xr:uid="{03C8A47C-FA4A-4304-B64B-11734E62F5E2}"/>
  <mergeCells count="15">
    <mergeCell ref="D63:H63"/>
    <mergeCell ref="L63:O63"/>
    <mergeCell ref="Q13:S13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  <mergeCell ref="L13:P13"/>
  </mergeCells>
  <conditionalFormatting sqref="C16:C17">
    <cfRule type="expression" priority="5" stopIfTrue="1">
      <formula>#REF!</formula>
    </cfRule>
  </conditionalFormatting>
  <conditionalFormatting sqref="C19">
    <cfRule type="expression" priority="4" stopIfTrue="1">
      <formula>#REF!</formula>
    </cfRule>
  </conditionalFormatting>
  <conditionalFormatting sqref="C30:C59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66F6-2027-499F-8982-FEAB5DC2E38E}">
  <sheetPr>
    <tabColor rgb="FF00B050"/>
    <pageSetUpPr fitToPage="1"/>
  </sheetPr>
  <dimension ref="A1:BN443"/>
  <sheetViews>
    <sheetView showZeros="0" zoomScaleNormal="100" workbookViewId="0">
      <selection activeCell="J18" sqref="J18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7" width="8.28515625" style="4" customWidth="1"/>
    <col min="8" max="15" width="10.7109375" style="4" customWidth="1"/>
    <col min="16" max="16" width="13.28515625" style="4" customWidth="1"/>
    <col min="17" max="19" width="5.7109375" style="195" customWidth="1" outlineLevel="1"/>
    <col min="20" max="22" width="10.7109375" style="90" customWidth="1" outlineLevel="1"/>
    <col min="23" max="45" width="10.7109375" style="90" customWidth="1"/>
    <col min="46" max="66" width="8.85546875" style="54"/>
    <col min="67" max="16384" width="8.85546875" style="4"/>
  </cols>
  <sheetData>
    <row r="1" spans="1:66" ht="15" x14ac:dyDescent="0.2">
      <c r="A1" s="408" t="s">
        <v>627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66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66" ht="15" x14ac:dyDescent="0.2">
      <c r="A3" s="409" t="str">
        <f>Kopsavilkums!C14</f>
        <v>Būvlaukuma ierīkošana un uzturēšana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4" spans="1:66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</row>
    <row r="5" spans="1:66" x14ac:dyDescent="0.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66" x14ac:dyDescent="0.2">
      <c r="A6" s="1" t="s">
        <v>64</v>
      </c>
      <c r="B6" s="8"/>
      <c r="C6" s="9"/>
      <c r="D6" s="10"/>
      <c r="E6" s="5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</row>
    <row r="7" spans="1:66" x14ac:dyDescent="0.2">
      <c r="A7" s="1" t="s">
        <v>65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66" x14ac:dyDescent="0.2">
      <c r="A8" s="2" t="s">
        <v>66</v>
      </c>
      <c r="B8" s="8"/>
      <c r="C8" s="12"/>
      <c r="D8" s="10"/>
      <c r="E8" s="5"/>
      <c r="F8" s="10"/>
      <c r="G8" s="10"/>
      <c r="H8" s="11"/>
      <c r="I8" s="13"/>
      <c r="J8" s="11"/>
      <c r="K8" s="11"/>
      <c r="L8" s="11"/>
      <c r="M8" s="11"/>
      <c r="N8" s="11"/>
      <c r="O8" s="11"/>
      <c r="P8" s="11"/>
    </row>
    <row r="9" spans="1:66" x14ac:dyDescent="0.2">
      <c r="A9" s="1" t="s">
        <v>54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0</v>
      </c>
      <c r="P9" s="18">
        <f>P37</f>
        <v>0</v>
      </c>
    </row>
    <row r="10" spans="1:66" ht="4.9000000000000004" customHeight="1" x14ac:dyDescent="0.2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66" s="169" customFormat="1" ht="11.25" x14ac:dyDescent="0.15">
      <c r="A11" s="107" t="s">
        <v>67</v>
      </c>
      <c r="B11" s="165"/>
      <c r="C11" s="166"/>
      <c r="D11" s="166"/>
      <c r="E11" s="166"/>
      <c r="F11" s="166"/>
      <c r="G11" s="166"/>
      <c r="H11" s="167"/>
      <c r="I11" s="167"/>
      <c r="J11" s="167"/>
      <c r="K11" s="167"/>
      <c r="L11" s="167"/>
      <c r="M11" s="167"/>
      <c r="N11" s="167"/>
      <c r="O11" s="167"/>
      <c r="P11" s="168" t="str">
        <f>Kopsavilkums!H$9</f>
        <v xml:space="preserve">Tāme sastādīta: </v>
      </c>
      <c r="Q11" s="195"/>
      <c r="R11" s="195"/>
      <c r="S11" s="195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</row>
    <row r="12" spans="1:66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66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</v>
      </c>
      <c r="E13" s="418" t="s">
        <v>5</v>
      </c>
      <c r="F13" s="412" t="s">
        <v>6</v>
      </c>
      <c r="G13" s="420" t="s">
        <v>19</v>
      </c>
      <c r="H13" s="404" t="s">
        <v>7</v>
      </c>
      <c r="I13" s="405"/>
      <c r="J13" s="405"/>
      <c r="K13" s="406"/>
      <c r="L13" s="405" t="s">
        <v>8</v>
      </c>
      <c r="M13" s="405"/>
      <c r="N13" s="405"/>
      <c r="O13" s="405"/>
      <c r="P13" s="406"/>
      <c r="Q13" s="403"/>
      <c r="R13" s="403"/>
      <c r="S13" s="403"/>
    </row>
    <row r="14" spans="1:66" ht="34.9" customHeight="1" thickBot="1" x14ac:dyDescent="0.25">
      <c r="A14" s="413"/>
      <c r="B14" s="415"/>
      <c r="C14" s="415"/>
      <c r="D14" s="417"/>
      <c r="E14" s="419"/>
      <c r="F14" s="413"/>
      <c r="G14" s="421"/>
      <c r="H14" s="56" t="s">
        <v>17</v>
      </c>
      <c r="I14" s="60" t="s">
        <v>16</v>
      </c>
      <c r="J14" s="57" t="s">
        <v>15</v>
      </c>
      <c r="K14" s="58" t="s">
        <v>18</v>
      </c>
      <c r="L14" s="58" t="s">
        <v>9</v>
      </c>
      <c r="M14" s="56" t="s">
        <v>17</v>
      </c>
      <c r="N14" s="60" t="s">
        <v>16</v>
      </c>
      <c r="O14" s="57" t="s">
        <v>15</v>
      </c>
      <c r="P14" s="59" t="s">
        <v>14</v>
      </c>
      <c r="Q14" s="196"/>
      <c r="R14" s="196"/>
      <c r="S14" s="196"/>
    </row>
    <row r="15" spans="1:66" ht="25.5" x14ac:dyDescent="0.2">
      <c r="A15" s="333"/>
      <c r="B15" s="138"/>
      <c r="C15" s="177" t="str">
        <f>A3</f>
        <v>Būvlaukuma ierīkošana un uzturēšana</v>
      </c>
      <c r="D15" s="139"/>
      <c r="E15" s="213"/>
      <c r="F15" s="26"/>
      <c r="G15" s="61"/>
      <c r="H15" s="26"/>
      <c r="I15" s="27"/>
      <c r="J15" s="27"/>
      <c r="K15" s="25"/>
      <c r="L15" s="25"/>
      <c r="M15" s="26"/>
      <c r="N15" s="27"/>
      <c r="O15" s="28"/>
      <c r="P15" s="29"/>
      <c r="Q15" s="214"/>
      <c r="R15" s="214"/>
      <c r="S15" s="214"/>
    </row>
    <row r="16" spans="1:66" ht="33.75" x14ac:dyDescent="0.2">
      <c r="A16" s="334" t="s">
        <v>34</v>
      </c>
      <c r="B16" s="182"/>
      <c r="C16" s="206" t="s">
        <v>340</v>
      </c>
      <c r="D16" s="180" t="s">
        <v>259</v>
      </c>
      <c r="E16" s="181">
        <v>90</v>
      </c>
      <c r="F16" s="26"/>
      <c r="G16" s="61"/>
      <c r="H16" s="26"/>
      <c r="I16" s="27"/>
      <c r="J16" s="27"/>
      <c r="K16" s="25"/>
      <c r="L16" s="25"/>
      <c r="M16" s="26"/>
      <c r="N16" s="27"/>
      <c r="O16" s="28"/>
      <c r="P16" s="29"/>
      <c r="Q16" s="214"/>
      <c r="R16" s="214"/>
      <c r="S16" s="214"/>
      <c r="T16" s="215"/>
      <c r="U16" s="215"/>
      <c r="V16" s="215"/>
      <c r="W16" s="215"/>
    </row>
    <row r="17" spans="1:25" x14ac:dyDescent="0.2">
      <c r="A17" s="334"/>
      <c r="B17" s="182"/>
      <c r="C17" s="185" t="s">
        <v>341</v>
      </c>
      <c r="D17" s="180" t="s">
        <v>342</v>
      </c>
      <c r="E17" s="181">
        <v>8</v>
      </c>
      <c r="F17" s="26"/>
      <c r="G17" s="61"/>
      <c r="H17" s="26"/>
      <c r="I17" s="27"/>
      <c r="J17" s="27"/>
      <c r="K17" s="25"/>
      <c r="L17" s="25"/>
      <c r="M17" s="26"/>
      <c r="N17" s="27"/>
      <c r="O17" s="28"/>
      <c r="P17" s="29"/>
      <c r="Q17" s="214"/>
      <c r="R17" s="214"/>
      <c r="S17" s="214"/>
      <c r="T17" s="215"/>
      <c r="U17" s="215"/>
      <c r="V17" s="215"/>
      <c r="W17" s="215"/>
    </row>
    <row r="18" spans="1:25" x14ac:dyDescent="0.2">
      <c r="A18" s="334"/>
      <c r="B18" s="186"/>
      <c r="C18" s="185" t="s">
        <v>343</v>
      </c>
      <c r="D18" s="180" t="s">
        <v>360</v>
      </c>
      <c r="E18" s="181">
        <v>1</v>
      </c>
      <c r="F18" s="26"/>
      <c r="G18" s="61"/>
      <c r="H18" s="26"/>
      <c r="I18" s="27"/>
      <c r="J18" s="27"/>
      <c r="K18" s="25"/>
      <c r="L18" s="25"/>
      <c r="M18" s="26"/>
      <c r="N18" s="27"/>
      <c r="O18" s="28"/>
      <c r="P18" s="29"/>
      <c r="Q18" s="214"/>
      <c r="R18" s="214"/>
      <c r="S18" s="214"/>
      <c r="T18" s="215"/>
      <c r="U18" s="215"/>
      <c r="V18" s="215"/>
      <c r="W18" s="215"/>
    </row>
    <row r="19" spans="1:25" ht="33.75" x14ac:dyDescent="0.2">
      <c r="A19" s="334" t="s">
        <v>35</v>
      </c>
      <c r="B19" s="182"/>
      <c r="C19" s="206" t="s">
        <v>344</v>
      </c>
      <c r="D19" s="180" t="s">
        <v>45</v>
      </c>
      <c r="E19" s="181">
        <v>1</v>
      </c>
      <c r="F19" s="26"/>
      <c r="G19" s="61"/>
      <c r="H19" s="26"/>
      <c r="I19" s="27"/>
      <c r="J19" s="27"/>
      <c r="K19" s="25"/>
      <c r="L19" s="25"/>
      <c r="M19" s="26"/>
      <c r="N19" s="27"/>
      <c r="O19" s="28"/>
      <c r="P19" s="29"/>
      <c r="Q19" s="214"/>
      <c r="R19" s="214"/>
      <c r="S19" s="214"/>
      <c r="T19" s="215"/>
      <c r="U19" s="215"/>
      <c r="V19" s="215"/>
      <c r="W19" s="215"/>
    </row>
    <row r="20" spans="1:25" ht="22.5" x14ac:dyDescent="0.2">
      <c r="A20" s="334" t="s">
        <v>36</v>
      </c>
      <c r="B20" s="182"/>
      <c r="C20" s="206" t="s">
        <v>345</v>
      </c>
      <c r="D20" s="180" t="s">
        <v>45</v>
      </c>
      <c r="E20" s="181">
        <v>1</v>
      </c>
      <c r="F20" s="26"/>
      <c r="G20" s="61"/>
      <c r="H20" s="26"/>
      <c r="I20" s="27"/>
      <c r="J20" s="27"/>
      <c r="K20" s="25"/>
      <c r="L20" s="25"/>
      <c r="M20" s="26"/>
      <c r="N20" s="27"/>
      <c r="O20" s="28"/>
      <c r="P20" s="29"/>
      <c r="Q20" s="214"/>
      <c r="R20" s="214"/>
      <c r="S20" s="214"/>
      <c r="T20" s="215"/>
      <c r="U20" s="215"/>
      <c r="V20" s="215"/>
      <c r="W20" s="215"/>
    </row>
    <row r="21" spans="1:25" ht="22.5" x14ac:dyDescent="0.2">
      <c r="A21" s="334" t="s">
        <v>37</v>
      </c>
      <c r="B21" s="182"/>
      <c r="C21" s="206" t="s">
        <v>346</v>
      </c>
      <c r="D21" s="180" t="s">
        <v>48</v>
      </c>
      <c r="E21" s="181">
        <v>1</v>
      </c>
      <c r="F21" s="26"/>
      <c r="G21" s="61"/>
      <c r="H21" s="26"/>
      <c r="I21" s="27"/>
      <c r="J21" s="27"/>
      <c r="K21" s="25"/>
      <c r="L21" s="25"/>
      <c r="M21" s="26"/>
      <c r="N21" s="27"/>
      <c r="O21" s="28"/>
      <c r="P21" s="29"/>
      <c r="Q21" s="214"/>
      <c r="R21" s="214"/>
      <c r="S21" s="214"/>
      <c r="T21" s="215"/>
      <c r="U21" s="215"/>
      <c r="V21" s="215"/>
      <c r="W21" s="215"/>
    </row>
    <row r="22" spans="1:25" ht="22.5" x14ac:dyDescent="0.2">
      <c r="A22" s="334" t="s">
        <v>38</v>
      </c>
      <c r="B22" s="182"/>
      <c r="C22" s="206" t="s">
        <v>347</v>
      </c>
      <c r="D22" s="180" t="s">
        <v>48</v>
      </c>
      <c r="E22" s="181">
        <v>1</v>
      </c>
      <c r="F22" s="26"/>
      <c r="G22" s="61"/>
      <c r="H22" s="26"/>
      <c r="I22" s="27"/>
      <c r="J22" s="27"/>
      <c r="K22" s="25"/>
      <c r="L22" s="25"/>
      <c r="M22" s="26"/>
      <c r="N22" s="27"/>
      <c r="O22" s="28"/>
      <c r="P22" s="29"/>
      <c r="Q22" s="214"/>
      <c r="R22" s="214"/>
      <c r="S22" s="214"/>
      <c r="T22" s="215"/>
      <c r="U22" s="215"/>
      <c r="V22" s="215"/>
      <c r="W22" s="215"/>
    </row>
    <row r="23" spans="1:25" x14ac:dyDescent="0.2">
      <c r="A23" s="334" t="s">
        <v>39</v>
      </c>
      <c r="B23" s="186"/>
      <c r="C23" s="206" t="s">
        <v>348</v>
      </c>
      <c r="D23" s="180" t="s">
        <v>45</v>
      </c>
      <c r="E23" s="181">
        <v>1</v>
      </c>
      <c r="F23" s="26"/>
      <c r="G23" s="61"/>
      <c r="H23" s="26"/>
      <c r="I23" s="27"/>
      <c r="J23" s="27"/>
      <c r="K23" s="25"/>
      <c r="L23" s="25"/>
      <c r="M23" s="26"/>
      <c r="N23" s="27"/>
      <c r="O23" s="28"/>
      <c r="P23" s="29"/>
      <c r="Q23" s="214"/>
      <c r="R23" s="214"/>
      <c r="S23" s="214"/>
      <c r="T23" s="215"/>
      <c r="U23" s="215"/>
      <c r="V23" s="215"/>
      <c r="W23" s="215"/>
    </row>
    <row r="24" spans="1:25" x14ac:dyDescent="0.2">
      <c r="A24" s="334"/>
      <c r="B24" s="182"/>
      <c r="C24" s="185" t="s">
        <v>349</v>
      </c>
      <c r="D24" s="180" t="s">
        <v>342</v>
      </c>
      <c r="E24" s="181">
        <f>E$17</f>
        <v>8</v>
      </c>
      <c r="F24" s="26"/>
      <c r="G24" s="61"/>
      <c r="H24" s="26"/>
      <c r="I24" s="27"/>
      <c r="J24" s="27"/>
      <c r="K24" s="25"/>
      <c r="L24" s="25"/>
      <c r="M24" s="26"/>
      <c r="N24" s="27"/>
      <c r="O24" s="28"/>
      <c r="P24" s="29"/>
      <c r="Q24" s="214"/>
      <c r="R24" s="214"/>
      <c r="S24" s="214"/>
      <c r="T24" s="215"/>
      <c r="U24" s="215"/>
      <c r="V24" s="215"/>
      <c r="W24" s="215"/>
    </row>
    <row r="25" spans="1:25" x14ac:dyDescent="0.2">
      <c r="A25" s="334"/>
      <c r="B25" s="186"/>
      <c r="C25" s="185" t="s">
        <v>350</v>
      </c>
      <c r="D25" s="180" t="s">
        <v>318</v>
      </c>
      <c r="E25" s="181">
        <f>E23*2</f>
        <v>2</v>
      </c>
      <c r="F25" s="26"/>
      <c r="G25" s="61"/>
      <c r="H25" s="26"/>
      <c r="I25" s="27"/>
      <c r="J25" s="27"/>
      <c r="K25" s="25"/>
      <c r="L25" s="25"/>
      <c r="M25" s="26"/>
      <c r="N25" s="27"/>
      <c r="O25" s="28"/>
      <c r="P25" s="29"/>
      <c r="Q25" s="214"/>
      <c r="R25" s="214"/>
      <c r="S25" s="214"/>
      <c r="T25" s="215"/>
      <c r="U25" s="215"/>
      <c r="V25" s="215"/>
      <c r="W25" s="215"/>
    </row>
    <row r="26" spans="1:25" ht="33.75" x14ac:dyDescent="0.2">
      <c r="A26" s="334" t="s">
        <v>40</v>
      </c>
      <c r="B26" s="176"/>
      <c r="C26" s="206" t="s">
        <v>351</v>
      </c>
      <c r="D26" s="180" t="s">
        <v>45</v>
      </c>
      <c r="E26" s="181">
        <v>1</v>
      </c>
      <c r="F26" s="26"/>
      <c r="G26" s="61"/>
      <c r="H26" s="26"/>
      <c r="I26" s="27"/>
      <c r="J26" s="27"/>
      <c r="K26" s="25"/>
      <c r="L26" s="25"/>
      <c r="M26" s="26"/>
      <c r="N26" s="27"/>
      <c r="O26" s="28"/>
      <c r="P26" s="29"/>
      <c r="Q26" s="214"/>
      <c r="R26" s="214"/>
      <c r="S26" s="214"/>
      <c r="T26" s="215"/>
      <c r="U26" s="215"/>
      <c r="V26" s="215"/>
      <c r="W26" s="215"/>
    </row>
    <row r="27" spans="1:25" x14ac:dyDescent="0.2">
      <c r="A27" s="334"/>
      <c r="B27" s="182"/>
      <c r="C27" s="185" t="s">
        <v>352</v>
      </c>
      <c r="D27" s="180" t="s">
        <v>342</v>
      </c>
      <c r="E27" s="181">
        <f>E$17</f>
        <v>8</v>
      </c>
      <c r="F27" s="26"/>
      <c r="G27" s="61"/>
      <c r="H27" s="26"/>
      <c r="I27" s="27"/>
      <c r="J27" s="27"/>
      <c r="K27" s="25"/>
      <c r="L27" s="25"/>
      <c r="M27" s="26"/>
      <c r="N27" s="27"/>
      <c r="O27" s="28"/>
      <c r="P27" s="29"/>
      <c r="Q27" s="214"/>
      <c r="R27" s="214"/>
      <c r="S27" s="214"/>
      <c r="T27" s="215"/>
      <c r="U27" s="215"/>
      <c r="V27" s="215"/>
      <c r="W27" s="215"/>
    </row>
    <row r="28" spans="1:25" ht="22.5" x14ac:dyDescent="0.2">
      <c r="A28" s="334" t="s">
        <v>313</v>
      </c>
      <c r="B28" s="176"/>
      <c r="C28" s="206" t="s">
        <v>353</v>
      </c>
      <c r="D28" s="180" t="s">
        <v>48</v>
      </c>
      <c r="E28" s="181">
        <v>1</v>
      </c>
      <c r="F28" s="26"/>
      <c r="G28" s="61"/>
      <c r="H28" s="26"/>
      <c r="I28" s="27"/>
      <c r="J28" s="27"/>
      <c r="K28" s="25"/>
      <c r="L28" s="25"/>
      <c r="M28" s="26"/>
      <c r="N28" s="27"/>
      <c r="O28" s="28"/>
      <c r="P28" s="29"/>
      <c r="Q28" s="214"/>
      <c r="R28" s="214"/>
      <c r="S28" s="214"/>
      <c r="T28" s="215"/>
      <c r="U28" s="215"/>
      <c r="V28" s="215"/>
      <c r="W28" s="215"/>
    </row>
    <row r="29" spans="1:25" ht="22.5" x14ac:dyDescent="0.2">
      <c r="A29" s="334"/>
      <c r="B29" s="182"/>
      <c r="C29" s="185" t="s">
        <v>354</v>
      </c>
      <c r="D29" s="180" t="s">
        <v>342</v>
      </c>
      <c r="E29" s="181">
        <f>E$17</f>
        <v>8</v>
      </c>
      <c r="F29" s="26"/>
      <c r="G29" s="61"/>
      <c r="H29" s="26"/>
      <c r="I29" s="27"/>
      <c r="J29" s="27"/>
      <c r="K29" s="25"/>
      <c r="L29" s="25"/>
      <c r="M29" s="26"/>
      <c r="N29" s="27"/>
      <c r="O29" s="28"/>
      <c r="P29" s="29"/>
      <c r="Q29" s="214"/>
      <c r="R29" s="214"/>
      <c r="S29" s="214"/>
      <c r="T29" s="215"/>
      <c r="U29" s="215"/>
      <c r="V29" s="215"/>
      <c r="W29" s="215"/>
    </row>
    <row r="30" spans="1:25" ht="22.5" x14ac:dyDescent="0.2">
      <c r="A30" s="334" t="s">
        <v>316</v>
      </c>
      <c r="B30" s="176"/>
      <c r="C30" s="179" t="s">
        <v>355</v>
      </c>
      <c r="D30" s="180" t="s">
        <v>48</v>
      </c>
      <c r="E30" s="181">
        <v>1</v>
      </c>
      <c r="F30" s="26"/>
      <c r="G30" s="61"/>
      <c r="H30" s="26"/>
      <c r="I30" s="27"/>
      <c r="J30" s="27"/>
      <c r="K30" s="25"/>
      <c r="L30" s="25"/>
      <c r="M30" s="26"/>
      <c r="N30" s="27"/>
      <c r="O30" s="28"/>
      <c r="P30" s="29"/>
      <c r="Q30" s="214"/>
      <c r="R30" s="214"/>
      <c r="S30" s="214"/>
      <c r="T30" s="215"/>
      <c r="U30" s="215"/>
      <c r="V30" s="215"/>
      <c r="W30" s="215"/>
      <c r="X30" s="215"/>
      <c r="Y30" s="215"/>
    </row>
    <row r="31" spans="1:25" x14ac:dyDescent="0.2">
      <c r="A31" s="334" t="s">
        <v>554</v>
      </c>
      <c r="B31" s="216"/>
      <c r="C31" s="179" t="s">
        <v>356</v>
      </c>
      <c r="D31" s="180" t="s">
        <v>48</v>
      </c>
      <c r="E31" s="181">
        <v>1</v>
      </c>
      <c r="F31" s="26"/>
      <c r="G31" s="61"/>
      <c r="H31" s="26"/>
      <c r="I31" s="27"/>
      <c r="J31" s="27"/>
      <c r="K31" s="25"/>
      <c r="L31" s="25"/>
      <c r="M31" s="26"/>
      <c r="N31" s="27"/>
      <c r="O31" s="28"/>
      <c r="P31" s="29"/>
      <c r="Q31" s="214"/>
      <c r="R31" s="214"/>
      <c r="S31" s="214"/>
      <c r="T31" s="215"/>
      <c r="U31" s="215"/>
      <c r="V31" s="215"/>
      <c r="W31" s="215"/>
      <c r="X31" s="215"/>
      <c r="Y31" s="215"/>
    </row>
    <row r="32" spans="1:25" ht="45" x14ac:dyDescent="0.2">
      <c r="A32" s="334" t="s">
        <v>555</v>
      </c>
      <c r="B32" s="216"/>
      <c r="C32" s="179" t="s">
        <v>357</v>
      </c>
      <c r="D32" s="180" t="s">
        <v>45</v>
      </c>
      <c r="E32" s="181">
        <v>1</v>
      </c>
      <c r="F32" s="26"/>
      <c r="G32" s="61"/>
      <c r="H32" s="26"/>
      <c r="I32" s="27"/>
      <c r="J32" s="27"/>
      <c r="K32" s="25"/>
      <c r="L32" s="25"/>
      <c r="M32" s="26"/>
      <c r="N32" s="27"/>
      <c r="O32" s="28"/>
      <c r="P32" s="29"/>
      <c r="Q32" s="214"/>
      <c r="R32" s="214"/>
      <c r="S32" s="214"/>
      <c r="T32" s="215"/>
      <c r="U32" s="215"/>
      <c r="V32" s="215"/>
      <c r="W32" s="215"/>
    </row>
    <row r="33" spans="1:66" x14ac:dyDescent="0.2">
      <c r="A33" s="334" t="s">
        <v>556</v>
      </c>
      <c r="B33" s="216"/>
      <c r="C33" s="179" t="s">
        <v>358</v>
      </c>
      <c r="D33" s="180" t="s">
        <v>342</v>
      </c>
      <c r="E33" s="181">
        <f>E$17</f>
        <v>8</v>
      </c>
      <c r="F33" s="26"/>
      <c r="G33" s="61"/>
      <c r="H33" s="26"/>
      <c r="I33" s="27"/>
      <c r="J33" s="27"/>
      <c r="K33" s="25"/>
      <c r="L33" s="25"/>
      <c r="M33" s="26"/>
      <c r="N33" s="27"/>
      <c r="O33" s="28"/>
      <c r="P33" s="29"/>
      <c r="Q33" s="214"/>
      <c r="R33" s="214"/>
      <c r="S33" s="214"/>
      <c r="T33" s="215"/>
      <c r="U33" s="215"/>
      <c r="V33" s="215"/>
      <c r="W33" s="215"/>
    </row>
    <row r="34" spans="1:66" s="220" customFormat="1" ht="45" x14ac:dyDescent="0.2">
      <c r="A34" s="334"/>
      <c r="B34" s="122"/>
      <c r="C34" s="179" t="s">
        <v>362</v>
      </c>
      <c r="D34" s="180" t="s">
        <v>342</v>
      </c>
      <c r="E34" s="181">
        <f>E$17</f>
        <v>8</v>
      </c>
      <c r="F34" s="26"/>
      <c r="G34" s="61"/>
      <c r="H34" s="26"/>
      <c r="I34" s="27"/>
      <c r="J34" s="27"/>
      <c r="K34" s="25"/>
      <c r="L34" s="25"/>
      <c r="M34" s="26"/>
      <c r="N34" s="27"/>
      <c r="O34" s="28"/>
      <c r="P34" s="29"/>
      <c r="Q34" s="214"/>
      <c r="R34" s="214"/>
      <c r="S34" s="214"/>
      <c r="T34" s="217"/>
      <c r="U34" s="217"/>
      <c r="V34" s="217"/>
      <c r="W34" s="218"/>
      <c r="X34" s="207"/>
      <c r="Y34" s="207"/>
      <c r="Z34" s="207"/>
      <c r="AA34" s="207"/>
      <c r="AB34" s="207"/>
      <c r="AC34" s="207"/>
      <c r="AD34" s="207"/>
      <c r="AE34" s="207"/>
      <c r="AF34" s="207"/>
      <c r="AG34" s="207"/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</row>
    <row r="35" spans="1:66" s="220" customFormat="1" ht="22.5" x14ac:dyDescent="0.2">
      <c r="A35" s="334" t="s">
        <v>557</v>
      </c>
      <c r="B35" s="122"/>
      <c r="C35" s="179" t="s">
        <v>359</v>
      </c>
      <c r="D35" s="180" t="s">
        <v>360</v>
      </c>
      <c r="E35" s="181">
        <v>1</v>
      </c>
      <c r="F35" s="26"/>
      <c r="G35" s="61"/>
      <c r="H35" s="26"/>
      <c r="I35" s="27"/>
      <c r="J35" s="27"/>
      <c r="K35" s="25"/>
      <c r="L35" s="25"/>
      <c r="M35" s="26"/>
      <c r="N35" s="27"/>
      <c r="O35" s="28"/>
      <c r="P35" s="29"/>
      <c r="Q35" s="214"/>
      <c r="R35" s="214"/>
      <c r="S35" s="214"/>
      <c r="T35" s="217"/>
      <c r="U35" s="217"/>
      <c r="V35" s="217"/>
      <c r="W35" s="218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</row>
    <row r="36" spans="1:66" ht="34.5" thickBot="1" x14ac:dyDescent="0.25">
      <c r="A36" s="335" t="s">
        <v>558</v>
      </c>
      <c r="B36" s="329"/>
      <c r="C36" s="330" t="s">
        <v>361</v>
      </c>
      <c r="D36" s="331" t="s">
        <v>45</v>
      </c>
      <c r="E36" s="332">
        <v>4</v>
      </c>
      <c r="F36" s="294"/>
      <c r="G36" s="293"/>
      <c r="H36" s="294"/>
      <c r="I36" s="295"/>
      <c r="J36" s="295"/>
      <c r="K36" s="296"/>
      <c r="L36" s="296"/>
      <c r="M36" s="294"/>
      <c r="N36" s="295"/>
      <c r="O36" s="297"/>
      <c r="P36" s="298"/>
      <c r="Q36" s="214"/>
      <c r="R36" s="214"/>
      <c r="S36" s="214"/>
      <c r="T36" s="215"/>
      <c r="U36" s="215"/>
      <c r="V36" s="215"/>
      <c r="W36" s="215"/>
    </row>
    <row r="37" spans="1:66" ht="15" customHeight="1" thickBo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2" t="s">
        <v>130</v>
      </c>
      <c r="L37" s="33">
        <f>ROUND(SUM(L15:L36),2)</f>
        <v>0</v>
      </c>
      <c r="M37" s="33">
        <f>ROUND(SUM(M15:M36),2)</f>
        <v>0</v>
      </c>
      <c r="N37" s="34">
        <f>ROUND(SUM(N15:N36),2)</f>
        <v>0</v>
      </c>
      <c r="O37" s="35">
        <f>ROUND(SUM(O15:O36),2)</f>
        <v>0</v>
      </c>
      <c r="P37" s="36">
        <f>ROUND(SUM(P15:P36),2)</f>
        <v>0</v>
      </c>
    </row>
    <row r="38" spans="1:66" ht="34.9" customHeight="1" x14ac:dyDescent="0.2">
      <c r="A38" s="37"/>
      <c r="B38" s="7"/>
      <c r="C38" s="38"/>
      <c r="D38" s="39"/>
      <c r="E38" s="5"/>
      <c r="F38" s="5"/>
      <c r="G38" s="5"/>
      <c r="H38" s="7"/>
      <c r="I38" s="7"/>
      <c r="J38" s="7"/>
      <c r="K38" s="7"/>
      <c r="L38" s="7"/>
      <c r="M38" s="7"/>
      <c r="N38" s="7"/>
      <c r="O38" s="7"/>
      <c r="P38" s="7"/>
    </row>
    <row r="39" spans="1:66" x14ac:dyDescent="0.2">
      <c r="A39" s="40"/>
      <c r="B39" s="41"/>
      <c r="C39" s="41" t="s">
        <v>10</v>
      </c>
      <c r="D39" s="42"/>
      <c r="E39" s="43"/>
      <c r="F39" s="44"/>
      <c r="G39" s="42"/>
      <c r="H39" s="45">
        <f>Kopsavilkums!C$43</f>
        <v>0</v>
      </c>
      <c r="I39" s="46" t="str">
        <f>Kopsavilkums!D$43</f>
        <v>datums</v>
      </c>
      <c r="J39" s="46"/>
      <c r="K39" s="41" t="s">
        <v>11</v>
      </c>
      <c r="L39" s="47"/>
      <c r="M39" s="44"/>
      <c r="N39" s="44"/>
      <c r="O39" s="45">
        <f>Kopsavilkums!C$48</f>
        <v>0</v>
      </c>
      <c r="P39" s="46" t="str">
        <f>Kopsavilkums!D$48</f>
        <v>datums</v>
      </c>
    </row>
    <row r="40" spans="1:66" x14ac:dyDescent="0.2">
      <c r="A40" s="48"/>
      <c r="B40" s="49"/>
      <c r="C40" s="50"/>
      <c r="D40" s="407" t="s">
        <v>12</v>
      </c>
      <c r="E40" s="407"/>
      <c r="F40" s="407"/>
      <c r="G40" s="407"/>
      <c r="H40" s="407"/>
      <c r="I40" s="7"/>
      <c r="J40" s="7"/>
      <c r="K40" s="7"/>
      <c r="L40" s="407" t="s">
        <v>12</v>
      </c>
      <c r="M40" s="407"/>
      <c r="N40" s="407"/>
      <c r="O40" s="407"/>
      <c r="P40" s="7"/>
    </row>
    <row r="41" spans="1:66" x14ac:dyDescent="0.2">
      <c r="A41" s="37"/>
      <c r="B41" s="7"/>
      <c r="C41" s="38"/>
      <c r="D41" s="5"/>
      <c r="E41" s="5"/>
      <c r="F41" s="5"/>
      <c r="G41" s="5"/>
      <c r="H41" s="7"/>
      <c r="I41" s="7"/>
      <c r="J41" s="7"/>
      <c r="K41" s="7"/>
      <c r="L41" s="7"/>
      <c r="M41" s="7"/>
      <c r="N41" s="7"/>
      <c r="O41" s="7"/>
      <c r="P41" s="7"/>
    </row>
    <row r="42" spans="1:66" x14ac:dyDescent="0.2">
      <c r="A42" s="51"/>
      <c r="B42" s="46"/>
      <c r="C42" s="52"/>
      <c r="D42" s="52" t="str">
        <f>Kopsavilkums!B$46</f>
        <v>-</v>
      </c>
      <c r="E42" s="5"/>
      <c r="F42" s="5"/>
      <c r="G42" s="5"/>
      <c r="H42" s="7"/>
      <c r="I42" s="7"/>
      <c r="J42" s="7"/>
      <c r="K42" s="7"/>
      <c r="L42" s="52" t="str">
        <f>Kopsavilkums!B$51</f>
        <v>Sert.Nr.</v>
      </c>
      <c r="M42" s="53"/>
      <c r="N42" s="7"/>
      <c r="O42" s="7"/>
      <c r="P42" s="7"/>
    </row>
    <row r="43" spans="1:66" s="54" customFormat="1" x14ac:dyDescent="0.25">
      <c r="Q43" s="195"/>
      <c r="R43" s="195"/>
      <c r="S43" s="195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</row>
    <row r="44" spans="1:66" s="54" customFormat="1" x14ac:dyDescent="0.25">
      <c r="Q44" s="195"/>
      <c r="R44" s="195"/>
      <c r="S44" s="195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</row>
    <row r="45" spans="1:66" s="54" customFormat="1" x14ac:dyDescent="0.25">
      <c r="Q45" s="195"/>
      <c r="R45" s="195"/>
      <c r="S45" s="195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</row>
    <row r="46" spans="1:66" s="54" customFormat="1" x14ac:dyDescent="0.25">
      <c r="Q46" s="195"/>
      <c r="R46" s="195"/>
      <c r="S46" s="195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</row>
    <row r="47" spans="1:66" s="54" customFormat="1" x14ac:dyDescent="0.25">
      <c r="Q47" s="195"/>
      <c r="R47" s="195"/>
      <c r="S47" s="195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</row>
    <row r="48" spans="1:66" s="54" customFormat="1" x14ac:dyDescent="0.25">
      <c r="Q48" s="195"/>
      <c r="R48" s="195"/>
      <c r="S48" s="195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</row>
    <row r="49" spans="17:45" s="54" customFormat="1" x14ac:dyDescent="0.25">
      <c r="Q49" s="195"/>
      <c r="R49" s="195"/>
      <c r="S49" s="195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</row>
    <row r="50" spans="17:45" s="54" customFormat="1" x14ac:dyDescent="0.25">
      <c r="Q50" s="195"/>
      <c r="R50" s="195"/>
      <c r="S50" s="195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</row>
    <row r="51" spans="17:45" s="54" customFormat="1" x14ac:dyDescent="0.25">
      <c r="Q51" s="195"/>
      <c r="R51" s="195"/>
      <c r="S51" s="195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</row>
    <row r="52" spans="17:45" s="54" customFormat="1" x14ac:dyDescent="0.25">
      <c r="Q52" s="195"/>
      <c r="R52" s="195"/>
      <c r="S52" s="195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</row>
    <row r="53" spans="17:45" s="54" customFormat="1" x14ac:dyDescent="0.25">
      <c r="Q53" s="195"/>
      <c r="R53" s="195"/>
      <c r="S53" s="195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</row>
    <row r="54" spans="17:45" s="54" customFormat="1" x14ac:dyDescent="0.25">
      <c r="Q54" s="195"/>
      <c r="R54" s="195"/>
      <c r="S54" s="195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</row>
    <row r="55" spans="17:45" s="54" customFormat="1" x14ac:dyDescent="0.25">
      <c r="Q55" s="195"/>
      <c r="R55" s="195"/>
      <c r="S55" s="195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</row>
    <row r="56" spans="17:45" s="54" customFormat="1" x14ac:dyDescent="0.25">
      <c r="Q56" s="195"/>
      <c r="R56" s="195"/>
      <c r="S56" s="195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</row>
    <row r="57" spans="17:45" s="54" customFormat="1" x14ac:dyDescent="0.25">
      <c r="Q57" s="195"/>
      <c r="R57" s="195"/>
      <c r="S57" s="195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</row>
    <row r="58" spans="17:45" s="54" customFormat="1" x14ac:dyDescent="0.25">
      <c r="Q58" s="195"/>
      <c r="R58" s="195"/>
      <c r="S58" s="195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</row>
    <row r="59" spans="17:45" s="54" customFormat="1" x14ac:dyDescent="0.25">
      <c r="Q59" s="195"/>
      <c r="R59" s="195"/>
      <c r="S59" s="195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</row>
    <row r="60" spans="17:45" s="54" customFormat="1" x14ac:dyDescent="0.25">
      <c r="Q60" s="195"/>
      <c r="R60" s="195"/>
      <c r="S60" s="195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</row>
    <row r="61" spans="17:45" s="54" customFormat="1" x14ac:dyDescent="0.25">
      <c r="Q61" s="195"/>
      <c r="R61" s="195"/>
      <c r="S61" s="195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</row>
    <row r="62" spans="17:45" s="54" customFormat="1" x14ac:dyDescent="0.25">
      <c r="Q62" s="195"/>
      <c r="R62" s="195"/>
      <c r="S62" s="195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</row>
    <row r="63" spans="17:45" s="54" customFormat="1" x14ac:dyDescent="0.25">
      <c r="Q63" s="195"/>
      <c r="R63" s="195"/>
      <c r="S63" s="195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</row>
    <row r="64" spans="17:45" s="54" customFormat="1" x14ac:dyDescent="0.25">
      <c r="Q64" s="195"/>
      <c r="R64" s="195"/>
      <c r="S64" s="195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</row>
    <row r="65" spans="17:45" s="54" customFormat="1" x14ac:dyDescent="0.25">
      <c r="Q65" s="195"/>
      <c r="R65" s="195"/>
      <c r="S65" s="195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</row>
    <row r="66" spans="17:45" s="54" customFormat="1" x14ac:dyDescent="0.25">
      <c r="Q66" s="195"/>
      <c r="R66" s="195"/>
      <c r="S66" s="195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</row>
    <row r="67" spans="17:45" s="54" customFormat="1" x14ac:dyDescent="0.25">
      <c r="Q67" s="195"/>
      <c r="R67" s="195"/>
      <c r="S67" s="195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</row>
    <row r="68" spans="17:45" s="54" customFormat="1" x14ac:dyDescent="0.25">
      <c r="Q68" s="195"/>
      <c r="R68" s="195"/>
      <c r="S68" s="195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</row>
    <row r="69" spans="17:45" s="54" customFormat="1" x14ac:dyDescent="0.25">
      <c r="Q69" s="195"/>
      <c r="R69" s="195"/>
      <c r="S69" s="195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</row>
    <row r="70" spans="17:45" s="54" customFormat="1" x14ac:dyDescent="0.25">
      <c r="Q70" s="195"/>
      <c r="R70" s="195"/>
      <c r="S70" s="195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</row>
    <row r="71" spans="17:45" s="54" customFormat="1" x14ac:dyDescent="0.25">
      <c r="Q71" s="195"/>
      <c r="R71" s="195"/>
      <c r="S71" s="195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</row>
    <row r="72" spans="17:45" s="54" customFormat="1" x14ac:dyDescent="0.25">
      <c r="Q72" s="195"/>
      <c r="R72" s="195"/>
      <c r="S72" s="195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</row>
    <row r="73" spans="17:45" s="54" customFormat="1" x14ac:dyDescent="0.25">
      <c r="Q73" s="195"/>
      <c r="R73" s="195"/>
      <c r="S73" s="195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</row>
    <row r="74" spans="17:45" s="54" customFormat="1" x14ac:dyDescent="0.25">
      <c r="Q74" s="195"/>
      <c r="R74" s="195"/>
      <c r="S74" s="195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</row>
    <row r="75" spans="17:45" s="54" customFormat="1" x14ac:dyDescent="0.25">
      <c r="Q75" s="195"/>
      <c r="R75" s="195"/>
      <c r="S75" s="195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</row>
    <row r="76" spans="17:45" s="54" customFormat="1" x14ac:dyDescent="0.25">
      <c r="Q76" s="195"/>
      <c r="R76" s="195"/>
      <c r="S76" s="195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</row>
    <row r="77" spans="17:45" s="54" customFormat="1" x14ac:dyDescent="0.25">
      <c r="Q77" s="195"/>
      <c r="R77" s="195"/>
      <c r="S77" s="195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</row>
    <row r="78" spans="17:45" s="54" customFormat="1" x14ac:dyDescent="0.25">
      <c r="Q78" s="195"/>
      <c r="R78" s="195"/>
      <c r="S78" s="195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</row>
    <row r="79" spans="17:45" s="54" customFormat="1" x14ac:dyDescent="0.25">
      <c r="Q79" s="195"/>
      <c r="R79" s="195"/>
      <c r="S79" s="195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</row>
    <row r="80" spans="17:45" s="54" customFormat="1" x14ac:dyDescent="0.25">
      <c r="Q80" s="195"/>
      <c r="R80" s="195"/>
      <c r="S80" s="195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</row>
    <row r="81" spans="17:45" s="54" customFormat="1" x14ac:dyDescent="0.25">
      <c r="Q81" s="195"/>
      <c r="R81" s="195"/>
      <c r="S81" s="195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</row>
    <row r="82" spans="17:45" s="54" customFormat="1" x14ac:dyDescent="0.25">
      <c r="Q82" s="195"/>
      <c r="R82" s="195"/>
      <c r="S82" s="195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</row>
    <row r="83" spans="17:45" s="54" customFormat="1" x14ac:dyDescent="0.25">
      <c r="Q83" s="195"/>
      <c r="R83" s="195"/>
      <c r="S83" s="195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</row>
    <row r="84" spans="17:45" s="54" customFormat="1" x14ac:dyDescent="0.25">
      <c r="Q84" s="195"/>
      <c r="R84" s="195"/>
      <c r="S84" s="195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</row>
    <row r="85" spans="17:45" s="54" customFormat="1" x14ac:dyDescent="0.25">
      <c r="Q85" s="195"/>
      <c r="R85" s="195"/>
      <c r="S85" s="195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</row>
    <row r="86" spans="17:45" s="54" customFormat="1" x14ac:dyDescent="0.25">
      <c r="Q86" s="195"/>
      <c r="R86" s="195"/>
      <c r="S86" s="195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</row>
    <row r="87" spans="17:45" s="54" customFormat="1" x14ac:dyDescent="0.25">
      <c r="Q87" s="195"/>
      <c r="R87" s="195"/>
      <c r="S87" s="195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</row>
    <row r="88" spans="17:45" s="54" customFormat="1" x14ac:dyDescent="0.25">
      <c r="Q88" s="195"/>
      <c r="R88" s="195"/>
      <c r="S88" s="195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</row>
    <row r="89" spans="17:45" s="54" customFormat="1" x14ac:dyDescent="0.25">
      <c r="Q89" s="195"/>
      <c r="R89" s="195"/>
      <c r="S89" s="195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</row>
    <row r="90" spans="17:45" s="54" customFormat="1" x14ac:dyDescent="0.25">
      <c r="Q90" s="195"/>
      <c r="R90" s="195"/>
      <c r="S90" s="195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</row>
    <row r="91" spans="17:45" s="54" customFormat="1" x14ac:dyDescent="0.25">
      <c r="Q91" s="195"/>
      <c r="R91" s="195"/>
      <c r="S91" s="195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</row>
    <row r="92" spans="17:45" s="54" customFormat="1" x14ac:dyDescent="0.25">
      <c r="Q92" s="195"/>
      <c r="R92" s="195"/>
      <c r="S92" s="195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</row>
    <row r="93" spans="17:45" s="54" customFormat="1" x14ac:dyDescent="0.25">
      <c r="Q93" s="195"/>
      <c r="R93" s="195"/>
      <c r="S93" s="195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</row>
    <row r="94" spans="17:45" s="54" customFormat="1" x14ac:dyDescent="0.25">
      <c r="Q94" s="195"/>
      <c r="R94" s="195"/>
      <c r="S94" s="195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</row>
    <row r="95" spans="17:45" s="54" customFormat="1" x14ac:dyDescent="0.25">
      <c r="Q95" s="195"/>
      <c r="R95" s="195"/>
      <c r="S95" s="195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</row>
    <row r="96" spans="17:45" s="54" customFormat="1" x14ac:dyDescent="0.25">
      <c r="Q96" s="195"/>
      <c r="R96" s="195"/>
      <c r="S96" s="195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</row>
    <row r="97" spans="17:45" s="54" customFormat="1" x14ac:dyDescent="0.25">
      <c r="Q97" s="195"/>
      <c r="R97" s="195"/>
      <c r="S97" s="195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</row>
    <row r="98" spans="17:45" s="54" customFormat="1" x14ac:dyDescent="0.25">
      <c r="Q98" s="195"/>
      <c r="R98" s="195"/>
      <c r="S98" s="195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</row>
    <row r="99" spans="17:45" s="54" customFormat="1" x14ac:dyDescent="0.25">
      <c r="Q99" s="195"/>
      <c r="R99" s="195"/>
      <c r="S99" s="195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</row>
    <row r="100" spans="17:45" s="54" customFormat="1" x14ac:dyDescent="0.25">
      <c r="Q100" s="195"/>
      <c r="R100" s="195"/>
      <c r="S100" s="195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</row>
    <row r="101" spans="17:45" s="54" customFormat="1" x14ac:dyDescent="0.25">
      <c r="Q101" s="195"/>
      <c r="R101" s="195"/>
      <c r="S101" s="195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</row>
    <row r="102" spans="17:45" s="54" customFormat="1" x14ac:dyDescent="0.25">
      <c r="Q102" s="195"/>
      <c r="R102" s="195"/>
      <c r="S102" s="195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</row>
    <row r="103" spans="17:45" s="54" customFormat="1" x14ac:dyDescent="0.25">
      <c r="Q103" s="195"/>
      <c r="R103" s="195"/>
      <c r="S103" s="195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</row>
    <row r="104" spans="17:45" s="54" customFormat="1" x14ac:dyDescent="0.25">
      <c r="Q104" s="195"/>
      <c r="R104" s="195"/>
      <c r="S104" s="195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</row>
    <row r="105" spans="17:45" s="54" customFormat="1" x14ac:dyDescent="0.25">
      <c r="Q105" s="195"/>
      <c r="R105" s="195"/>
      <c r="S105" s="195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</row>
    <row r="106" spans="17:45" s="54" customFormat="1" x14ac:dyDescent="0.25">
      <c r="Q106" s="195"/>
      <c r="R106" s="195"/>
      <c r="S106" s="195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</row>
    <row r="107" spans="17:45" s="54" customFormat="1" x14ac:dyDescent="0.25">
      <c r="Q107" s="195"/>
      <c r="R107" s="195"/>
      <c r="S107" s="195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</row>
    <row r="108" spans="17:45" s="54" customFormat="1" x14ac:dyDescent="0.25">
      <c r="Q108" s="195"/>
      <c r="R108" s="195"/>
      <c r="S108" s="195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</row>
    <row r="109" spans="17:45" s="54" customFormat="1" x14ac:dyDescent="0.25">
      <c r="Q109" s="195"/>
      <c r="R109" s="195"/>
      <c r="S109" s="195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</row>
    <row r="110" spans="17:45" s="54" customFormat="1" x14ac:dyDescent="0.25">
      <c r="Q110" s="195"/>
      <c r="R110" s="195"/>
      <c r="S110" s="195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</row>
    <row r="111" spans="17:45" s="54" customFormat="1" x14ac:dyDescent="0.25">
      <c r="Q111" s="195"/>
      <c r="R111" s="195"/>
      <c r="S111" s="195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</row>
    <row r="112" spans="17:45" s="54" customFormat="1" x14ac:dyDescent="0.25">
      <c r="Q112" s="195"/>
      <c r="R112" s="195"/>
      <c r="S112" s="195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</row>
    <row r="113" spans="17:45" s="54" customFormat="1" x14ac:dyDescent="0.25">
      <c r="Q113" s="195"/>
      <c r="R113" s="195"/>
      <c r="S113" s="195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</row>
    <row r="114" spans="17:45" s="54" customFormat="1" x14ac:dyDescent="0.25">
      <c r="Q114" s="195"/>
      <c r="R114" s="195"/>
      <c r="S114" s="195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</row>
    <row r="115" spans="17:45" s="54" customFormat="1" x14ac:dyDescent="0.25">
      <c r="Q115" s="195"/>
      <c r="R115" s="195"/>
      <c r="S115" s="195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</row>
    <row r="116" spans="17:45" s="54" customFormat="1" x14ac:dyDescent="0.25">
      <c r="Q116" s="195"/>
      <c r="R116" s="195"/>
      <c r="S116" s="195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</row>
    <row r="117" spans="17:45" s="54" customFormat="1" x14ac:dyDescent="0.25">
      <c r="Q117" s="195"/>
      <c r="R117" s="195"/>
      <c r="S117" s="195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</row>
    <row r="118" spans="17:45" s="54" customFormat="1" x14ac:dyDescent="0.25">
      <c r="Q118" s="195"/>
      <c r="R118" s="195"/>
      <c r="S118" s="195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</row>
    <row r="119" spans="17:45" s="54" customFormat="1" x14ac:dyDescent="0.25">
      <c r="Q119" s="195"/>
      <c r="R119" s="195"/>
      <c r="S119" s="195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</row>
    <row r="120" spans="17:45" s="54" customFormat="1" x14ac:dyDescent="0.25">
      <c r="Q120" s="195"/>
      <c r="R120" s="195"/>
      <c r="S120" s="195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</row>
    <row r="121" spans="17:45" s="54" customFormat="1" x14ac:dyDescent="0.25">
      <c r="Q121" s="195"/>
      <c r="R121" s="195"/>
      <c r="S121" s="195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</row>
    <row r="122" spans="17:45" s="54" customFormat="1" x14ac:dyDescent="0.25">
      <c r="Q122" s="195"/>
      <c r="R122" s="195"/>
      <c r="S122" s="195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</row>
    <row r="123" spans="17:45" s="54" customFormat="1" x14ac:dyDescent="0.25">
      <c r="Q123" s="195"/>
      <c r="R123" s="195"/>
      <c r="S123" s="195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</row>
    <row r="124" spans="17:45" s="54" customFormat="1" x14ac:dyDescent="0.25">
      <c r="Q124" s="195"/>
      <c r="R124" s="195"/>
      <c r="S124" s="195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</row>
    <row r="125" spans="17:45" s="54" customFormat="1" x14ac:dyDescent="0.25">
      <c r="Q125" s="195"/>
      <c r="R125" s="195"/>
      <c r="S125" s="195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</row>
    <row r="126" spans="17:45" s="54" customFormat="1" x14ac:dyDescent="0.25">
      <c r="Q126" s="195"/>
      <c r="R126" s="195"/>
      <c r="S126" s="195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</row>
    <row r="127" spans="17:45" s="54" customFormat="1" x14ac:dyDescent="0.25">
      <c r="Q127" s="195"/>
      <c r="R127" s="195"/>
      <c r="S127" s="195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</row>
    <row r="128" spans="17:45" s="54" customFormat="1" x14ac:dyDescent="0.25">
      <c r="Q128" s="195"/>
      <c r="R128" s="195"/>
      <c r="S128" s="195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</row>
    <row r="129" spans="17:45" s="54" customFormat="1" x14ac:dyDescent="0.25">
      <c r="Q129" s="195"/>
      <c r="R129" s="195"/>
      <c r="S129" s="195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</row>
    <row r="130" spans="17:45" s="54" customFormat="1" x14ac:dyDescent="0.25">
      <c r="Q130" s="195"/>
      <c r="R130" s="195"/>
      <c r="S130" s="195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</row>
    <row r="131" spans="17:45" s="54" customFormat="1" x14ac:dyDescent="0.25">
      <c r="Q131" s="195"/>
      <c r="R131" s="195"/>
      <c r="S131" s="195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</row>
    <row r="132" spans="17:45" s="54" customFormat="1" x14ac:dyDescent="0.25">
      <c r="Q132" s="195"/>
      <c r="R132" s="195"/>
      <c r="S132" s="195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</row>
    <row r="133" spans="17:45" s="54" customFormat="1" x14ac:dyDescent="0.25">
      <c r="Q133" s="195"/>
      <c r="R133" s="195"/>
      <c r="S133" s="195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</row>
    <row r="134" spans="17:45" s="54" customFormat="1" x14ac:dyDescent="0.25">
      <c r="Q134" s="195"/>
      <c r="R134" s="195"/>
      <c r="S134" s="195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</row>
    <row r="135" spans="17:45" s="54" customFormat="1" x14ac:dyDescent="0.25">
      <c r="Q135" s="195"/>
      <c r="R135" s="195"/>
      <c r="S135" s="195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</row>
    <row r="136" spans="17:45" s="54" customFormat="1" x14ac:dyDescent="0.25">
      <c r="Q136" s="195"/>
      <c r="R136" s="195"/>
      <c r="S136" s="195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</row>
    <row r="137" spans="17:45" s="54" customFormat="1" x14ac:dyDescent="0.25">
      <c r="Q137" s="195"/>
      <c r="R137" s="195"/>
      <c r="S137" s="195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</row>
    <row r="138" spans="17:45" s="54" customFormat="1" x14ac:dyDescent="0.25">
      <c r="Q138" s="195"/>
      <c r="R138" s="195"/>
      <c r="S138" s="195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</row>
    <row r="139" spans="17:45" s="54" customFormat="1" x14ac:dyDescent="0.25">
      <c r="Q139" s="195"/>
      <c r="R139" s="195"/>
      <c r="S139" s="195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</row>
    <row r="140" spans="17:45" s="54" customFormat="1" x14ac:dyDescent="0.25">
      <c r="Q140" s="195"/>
      <c r="R140" s="195"/>
      <c r="S140" s="195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</row>
    <row r="141" spans="17:45" s="54" customFormat="1" x14ac:dyDescent="0.25">
      <c r="Q141" s="195"/>
      <c r="R141" s="195"/>
      <c r="S141" s="195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</row>
    <row r="142" spans="17:45" s="54" customFormat="1" x14ac:dyDescent="0.25">
      <c r="Q142" s="195"/>
      <c r="R142" s="195"/>
      <c r="S142" s="195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</row>
    <row r="143" spans="17:45" s="54" customFormat="1" x14ac:dyDescent="0.25">
      <c r="Q143" s="195"/>
      <c r="R143" s="195"/>
      <c r="S143" s="195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</row>
    <row r="144" spans="17:45" s="54" customFormat="1" x14ac:dyDescent="0.25">
      <c r="Q144" s="195"/>
      <c r="R144" s="195"/>
      <c r="S144" s="195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</row>
    <row r="145" spans="17:45" s="54" customFormat="1" x14ac:dyDescent="0.25">
      <c r="Q145" s="195"/>
      <c r="R145" s="195"/>
      <c r="S145" s="195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</row>
    <row r="146" spans="17:45" s="54" customFormat="1" x14ac:dyDescent="0.25">
      <c r="Q146" s="195"/>
      <c r="R146" s="195"/>
      <c r="S146" s="195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</row>
    <row r="147" spans="17:45" s="54" customFormat="1" x14ac:dyDescent="0.25">
      <c r="Q147" s="195"/>
      <c r="R147" s="195"/>
      <c r="S147" s="195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</row>
    <row r="148" spans="17:45" s="54" customFormat="1" x14ac:dyDescent="0.25">
      <c r="Q148" s="195"/>
      <c r="R148" s="195"/>
      <c r="S148" s="195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</row>
    <row r="149" spans="17:45" s="54" customFormat="1" x14ac:dyDescent="0.25">
      <c r="Q149" s="195"/>
      <c r="R149" s="195"/>
      <c r="S149" s="195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</row>
    <row r="150" spans="17:45" s="54" customFormat="1" x14ac:dyDescent="0.25">
      <c r="Q150" s="195"/>
      <c r="R150" s="195"/>
      <c r="S150" s="195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</row>
    <row r="151" spans="17:45" s="54" customFormat="1" x14ac:dyDescent="0.25">
      <c r="Q151" s="195"/>
      <c r="R151" s="195"/>
      <c r="S151" s="195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</row>
    <row r="152" spans="17:45" s="54" customFormat="1" x14ac:dyDescent="0.25">
      <c r="Q152" s="195"/>
      <c r="R152" s="195"/>
      <c r="S152" s="195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</row>
    <row r="153" spans="17:45" s="54" customFormat="1" x14ac:dyDescent="0.25">
      <c r="Q153" s="195"/>
      <c r="R153" s="195"/>
      <c r="S153" s="195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</row>
    <row r="154" spans="17:45" s="54" customFormat="1" x14ac:dyDescent="0.25">
      <c r="Q154" s="195"/>
      <c r="R154" s="195"/>
      <c r="S154" s="195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</row>
    <row r="155" spans="17:45" s="54" customFormat="1" x14ac:dyDescent="0.25">
      <c r="Q155" s="195"/>
      <c r="R155" s="195"/>
      <c r="S155" s="195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</row>
    <row r="156" spans="17:45" s="54" customFormat="1" x14ac:dyDescent="0.25">
      <c r="Q156" s="195"/>
      <c r="R156" s="195"/>
      <c r="S156" s="195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</row>
    <row r="157" spans="17:45" s="54" customFormat="1" x14ac:dyDescent="0.25">
      <c r="Q157" s="195"/>
      <c r="R157" s="195"/>
      <c r="S157" s="195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</row>
    <row r="158" spans="17:45" s="54" customFormat="1" x14ac:dyDescent="0.25">
      <c r="Q158" s="195"/>
      <c r="R158" s="195"/>
      <c r="S158" s="195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</row>
    <row r="159" spans="17:45" s="54" customFormat="1" x14ac:dyDescent="0.25">
      <c r="Q159" s="195"/>
      <c r="R159" s="195"/>
      <c r="S159" s="195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</row>
    <row r="160" spans="17:45" s="54" customFormat="1" x14ac:dyDescent="0.25">
      <c r="Q160" s="195"/>
      <c r="R160" s="195"/>
      <c r="S160" s="195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</row>
    <row r="161" spans="17:45" s="54" customFormat="1" x14ac:dyDescent="0.25">
      <c r="Q161" s="195"/>
      <c r="R161" s="195"/>
      <c r="S161" s="195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</row>
    <row r="162" spans="17:45" s="54" customFormat="1" x14ac:dyDescent="0.25">
      <c r="Q162" s="195"/>
      <c r="R162" s="195"/>
      <c r="S162" s="195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</row>
    <row r="163" spans="17:45" s="54" customFormat="1" x14ac:dyDescent="0.25">
      <c r="Q163" s="195"/>
      <c r="R163" s="195"/>
      <c r="S163" s="195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</row>
    <row r="164" spans="17:45" s="54" customFormat="1" x14ac:dyDescent="0.25">
      <c r="Q164" s="195"/>
      <c r="R164" s="195"/>
      <c r="S164" s="195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</row>
    <row r="165" spans="17:45" s="54" customFormat="1" x14ac:dyDescent="0.25">
      <c r="Q165" s="195"/>
      <c r="R165" s="195"/>
      <c r="S165" s="195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</row>
    <row r="166" spans="17:45" s="54" customFormat="1" x14ac:dyDescent="0.25">
      <c r="Q166" s="195"/>
      <c r="R166" s="195"/>
      <c r="S166" s="195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</row>
    <row r="167" spans="17:45" s="54" customFormat="1" x14ac:dyDescent="0.25">
      <c r="Q167" s="195"/>
      <c r="R167" s="195"/>
      <c r="S167" s="195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</row>
    <row r="168" spans="17:45" s="54" customFormat="1" x14ac:dyDescent="0.25">
      <c r="Q168" s="195"/>
      <c r="R168" s="195"/>
      <c r="S168" s="195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</row>
    <row r="169" spans="17:45" s="54" customFormat="1" x14ac:dyDescent="0.25">
      <c r="Q169" s="195"/>
      <c r="R169" s="195"/>
      <c r="S169" s="195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</row>
    <row r="170" spans="17:45" s="54" customFormat="1" x14ac:dyDescent="0.25">
      <c r="Q170" s="195"/>
      <c r="R170" s="195"/>
      <c r="S170" s="195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</row>
    <row r="171" spans="17:45" s="54" customFormat="1" x14ac:dyDescent="0.25">
      <c r="Q171" s="195"/>
      <c r="R171" s="195"/>
      <c r="S171" s="195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</row>
    <row r="172" spans="17:45" s="54" customFormat="1" x14ac:dyDescent="0.25">
      <c r="Q172" s="195"/>
      <c r="R172" s="195"/>
      <c r="S172" s="195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</row>
    <row r="173" spans="17:45" s="54" customFormat="1" x14ac:dyDescent="0.25">
      <c r="Q173" s="195"/>
      <c r="R173" s="195"/>
      <c r="S173" s="195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</row>
    <row r="174" spans="17:45" s="54" customFormat="1" x14ac:dyDescent="0.25">
      <c r="Q174" s="195"/>
      <c r="R174" s="195"/>
      <c r="S174" s="195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</row>
    <row r="175" spans="17:45" s="54" customFormat="1" x14ac:dyDescent="0.25">
      <c r="Q175" s="195"/>
      <c r="R175" s="195"/>
      <c r="S175" s="195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</row>
    <row r="176" spans="17:45" s="54" customFormat="1" x14ac:dyDescent="0.25">
      <c r="Q176" s="195"/>
      <c r="R176" s="195"/>
      <c r="S176" s="195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</row>
    <row r="177" spans="17:45" s="54" customFormat="1" x14ac:dyDescent="0.25">
      <c r="Q177" s="195"/>
      <c r="R177" s="195"/>
      <c r="S177" s="195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</row>
    <row r="178" spans="17:45" s="54" customFormat="1" x14ac:dyDescent="0.25">
      <c r="Q178" s="195"/>
      <c r="R178" s="195"/>
      <c r="S178" s="195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</row>
    <row r="179" spans="17:45" s="54" customFormat="1" x14ac:dyDescent="0.25">
      <c r="Q179" s="195"/>
      <c r="R179" s="195"/>
      <c r="S179" s="195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</row>
    <row r="180" spans="17:45" s="54" customFormat="1" x14ac:dyDescent="0.25">
      <c r="Q180" s="195"/>
      <c r="R180" s="195"/>
      <c r="S180" s="195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</row>
    <row r="181" spans="17:45" s="54" customFormat="1" x14ac:dyDescent="0.25">
      <c r="Q181" s="195"/>
      <c r="R181" s="195"/>
      <c r="S181" s="195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</row>
    <row r="182" spans="17:45" s="54" customFormat="1" x14ac:dyDescent="0.25">
      <c r="Q182" s="195"/>
      <c r="R182" s="195"/>
      <c r="S182" s="195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</row>
    <row r="183" spans="17:45" s="54" customFormat="1" x14ac:dyDescent="0.25">
      <c r="Q183" s="195"/>
      <c r="R183" s="195"/>
      <c r="S183" s="195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</row>
    <row r="184" spans="17:45" s="54" customFormat="1" x14ac:dyDescent="0.25">
      <c r="Q184" s="195"/>
      <c r="R184" s="195"/>
      <c r="S184" s="195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</row>
    <row r="185" spans="17:45" s="54" customFormat="1" x14ac:dyDescent="0.25">
      <c r="Q185" s="195"/>
      <c r="R185" s="195"/>
      <c r="S185" s="195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</row>
    <row r="186" spans="17:45" s="54" customFormat="1" x14ac:dyDescent="0.25">
      <c r="Q186" s="195"/>
      <c r="R186" s="195"/>
      <c r="S186" s="195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</row>
    <row r="187" spans="17:45" s="54" customFormat="1" x14ac:dyDescent="0.25">
      <c r="Q187" s="195"/>
      <c r="R187" s="195"/>
      <c r="S187" s="195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</row>
    <row r="188" spans="17:45" s="54" customFormat="1" x14ac:dyDescent="0.25">
      <c r="Q188" s="195"/>
      <c r="R188" s="195"/>
      <c r="S188" s="195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</row>
    <row r="189" spans="17:45" s="54" customFormat="1" x14ac:dyDescent="0.25">
      <c r="Q189" s="195"/>
      <c r="R189" s="195"/>
      <c r="S189" s="195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</row>
    <row r="190" spans="17:45" s="54" customFormat="1" x14ac:dyDescent="0.25">
      <c r="Q190" s="195"/>
      <c r="R190" s="195"/>
      <c r="S190" s="195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</row>
    <row r="191" spans="17:45" s="54" customFormat="1" x14ac:dyDescent="0.25">
      <c r="Q191" s="195"/>
      <c r="R191" s="195"/>
      <c r="S191" s="195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</row>
    <row r="192" spans="17:45" s="54" customFormat="1" x14ac:dyDescent="0.25">
      <c r="Q192" s="195"/>
      <c r="R192" s="195"/>
      <c r="S192" s="195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</row>
    <row r="193" spans="17:45" s="54" customFormat="1" x14ac:dyDescent="0.25">
      <c r="Q193" s="195"/>
      <c r="R193" s="195"/>
      <c r="S193" s="195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</row>
    <row r="194" spans="17:45" s="54" customFormat="1" x14ac:dyDescent="0.25">
      <c r="Q194" s="195"/>
      <c r="R194" s="195"/>
      <c r="S194" s="195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</row>
    <row r="195" spans="17:45" s="54" customFormat="1" x14ac:dyDescent="0.25">
      <c r="Q195" s="195"/>
      <c r="R195" s="195"/>
      <c r="S195" s="195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</row>
    <row r="196" spans="17:45" s="54" customFormat="1" x14ac:dyDescent="0.25">
      <c r="Q196" s="195"/>
      <c r="R196" s="195"/>
      <c r="S196" s="195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</row>
    <row r="197" spans="17:45" s="54" customFormat="1" x14ac:dyDescent="0.25">
      <c r="Q197" s="195"/>
      <c r="R197" s="195"/>
      <c r="S197" s="195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</row>
    <row r="198" spans="17:45" s="54" customFormat="1" x14ac:dyDescent="0.25">
      <c r="Q198" s="195"/>
      <c r="R198" s="195"/>
      <c r="S198" s="195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</row>
    <row r="199" spans="17:45" s="54" customFormat="1" x14ac:dyDescent="0.25">
      <c r="Q199" s="195"/>
      <c r="R199" s="195"/>
      <c r="S199" s="195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</row>
    <row r="200" spans="17:45" s="54" customFormat="1" x14ac:dyDescent="0.25">
      <c r="Q200" s="195"/>
      <c r="R200" s="195"/>
      <c r="S200" s="195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</row>
    <row r="201" spans="17:45" s="54" customFormat="1" x14ac:dyDescent="0.25">
      <c r="Q201" s="195"/>
      <c r="R201" s="195"/>
      <c r="S201" s="195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</row>
    <row r="202" spans="17:45" s="54" customFormat="1" x14ac:dyDescent="0.25">
      <c r="Q202" s="195"/>
      <c r="R202" s="195"/>
      <c r="S202" s="195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</row>
    <row r="203" spans="17:45" s="54" customFormat="1" x14ac:dyDescent="0.25">
      <c r="Q203" s="195"/>
      <c r="R203" s="195"/>
      <c r="S203" s="195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</row>
    <row r="204" spans="17:45" s="54" customFormat="1" x14ac:dyDescent="0.25">
      <c r="Q204" s="195"/>
      <c r="R204" s="195"/>
      <c r="S204" s="195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</row>
    <row r="205" spans="17:45" s="54" customFormat="1" x14ac:dyDescent="0.25">
      <c r="Q205" s="195"/>
      <c r="R205" s="195"/>
      <c r="S205" s="195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</row>
    <row r="206" spans="17:45" s="54" customFormat="1" x14ac:dyDescent="0.25">
      <c r="Q206" s="195"/>
      <c r="R206" s="195"/>
      <c r="S206" s="195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</row>
    <row r="207" spans="17:45" s="54" customFormat="1" x14ac:dyDescent="0.25">
      <c r="Q207" s="195"/>
      <c r="R207" s="195"/>
      <c r="S207" s="195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</row>
    <row r="208" spans="17:45" s="54" customFormat="1" x14ac:dyDescent="0.25">
      <c r="Q208" s="195"/>
      <c r="R208" s="195"/>
      <c r="S208" s="195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</row>
    <row r="209" spans="17:45" s="54" customFormat="1" x14ac:dyDescent="0.25">
      <c r="Q209" s="195"/>
      <c r="R209" s="195"/>
      <c r="S209" s="195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</row>
    <row r="210" spans="17:45" s="54" customFormat="1" x14ac:dyDescent="0.25">
      <c r="Q210" s="195"/>
      <c r="R210" s="195"/>
      <c r="S210" s="195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</row>
    <row r="211" spans="17:45" s="54" customFormat="1" x14ac:dyDescent="0.25">
      <c r="Q211" s="195"/>
      <c r="R211" s="195"/>
      <c r="S211" s="195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</row>
    <row r="212" spans="17:45" s="54" customFormat="1" x14ac:dyDescent="0.25">
      <c r="Q212" s="195"/>
      <c r="R212" s="195"/>
      <c r="S212" s="195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</row>
    <row r="213" spans="17:45" s="54" customFormat="1" x14ac:dyDescent="0.25">
      <c r="Q213" s="195"/>
      <c r="R213" s="195"/>
      <c r="S213" s="195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</row>
    <row r="214" spans="17:45" s="54" customFormat="1" x14ac:dyDescent="0.25">
      <c r="Q214" s="195"/>
      <c r="R214" s="195"/>
      <c r="S214" s="195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</row>
    <row r="215" spans="17:45" s="54" customFormat="1" x14ac:dyDescent="0.25">
      <c r="Q215" s="195"/>
      <c r="R215" s="195"/>
      <c r="S215" s="195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</row>
    <row r="216" spans="17:45" s="54" customFormat="1" x14ac:dyDescent="0.25">
      <c r="Q216" s="195"/>
      <c r="R216" s="195"/>
      <c r="S216" s="195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</row>
    <row r="217" spans="17:45" s="54" customFormat="1" x14ac:dyDescent="0.25">
      <c r="Q217" s="195"/>
      <c r="R217" s="195"/>
      <c r="S217" s="195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</row>
    <row r="218" spans="17:45" s="54" customFormat="1" x14ac:dyDescent="0.25">
      <c r="Q218" s="195"/>
      <c r="R218" s="195"/>
      <c r="S218" s="195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</row>
    <row r="219" spans="17:45" s="54" customFormat="1" x14ac:dyDescent="0.25">
      <c r="Q219" s="195"/>
      <c r="R219" s="195"/>
      <c r="S219" s="195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</row>
    <row r="220" spans="17:45" s="54" customFormat="1" x14ac:dyDescent="0.25">
      <c r="Q220" s="195"/>
      <c r="R220" s="195"/>
      <c r="S220" s="195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</row>
    <row r="221" spans="17:45" s="54" customFormat="1" x14ac:dyDescent="0.25">
      <c r="Q221" s="195"/>
      <c r="R221" s="195"/>
      <c r="S221" s="195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</row>
    <row r="222" spans="17:45" s="54" customFormat="1" x14ac:dyDescent="0.25">
      <c r="Q222" s="195"/>
      <c r="R222" s="195"/>
      <c r="S222" s="195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</row>
    <row r="223" spans="17:45" s="54" customFormat="1" x14ac:dyDescent="0.25">
      <c r="Q223" s="195"/>
      <c r="R223" s="195"/>
      <c r="S223" s="195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</row>
    <row r="224" spans="17:45" s="54" customFormat="1" x14ac:dyDescent="0.25">
      <c r="Q224" s="195"/>
      <c r="R224" s="195"/>
      <c r="S224" s="195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</row>
    <row r="225" spans="17:45" s="54" customFormat="1" x14ac:dyDescent="0.25">
      <c r="Q225" s="195"/>
      <c r="R225" s="195"/>
      <c r="S225" s="195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</row>
    <row r="226" spans="17:45" s="54" customFormat="1" x14ac:dyDescent="0.25">
      <c r="Q226" s="195"/>
      <c r="R226" s="195"/>
      <c r="S226" s="195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</row>
    <row r="227" spans="17:45" s="54" customFormat="1" x14ac:dyDescent="0.25">
      <c r="Q227" s="195"/>
      <c r="R227" s="195"/>
      <c r="S227" s="195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</row>
    <row r="228" spans="17:45" s="54" customFormat="1" x14ac:dyDescent="0.25">
      <c r="Q228" s="195"/>
      <c r="R228" s="195"/>
      <c r="S228" s="195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</row>
    <row r="229" spans="17:45" s="54" customFormat="1" x14ac:dyDescent="0.25">
      <c r="Q229" s="195"/>
      <c r="R229" s="195"/>
      <c r="S229" s="195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</row>
    <row r="230" spans="17:45" s="54" customFormat="1" x14ac:dyDescent="0.25">
      <c r="Q230" s="195"/>
      <c r="R230" s="195"/>
      <c r="S230" s="195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</row>
    <row r="231" spans="17:45" s="54" customFormat="1" x14ac:dyDescent="0.25">
      <c r="Q231" s="195"/>
      <c r="R231" s="195"/>
      <c r="S231" s="195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</row>
    <row r="232" spans="17:45" s="54" customFormat="1" x14ac:dyDescent="0.25">
      <c r="Q232" s="195"/>
      <c r="R232" s="195"/>
      <c r="S232" s="195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</row>
    <row r="233" spans="17:45" s="54" customFormat="1" x14ac:dyDescent="0.25">
      <c r="Q233" s="195"/>
      <c r="R233" s="195"/>
      <c r="S233" s="195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</row>
    <row r="234" spans="17:45" s="54" customFormat="1" x14ac:dyDescent="0.25">
      <c r="Q234" s="195"/>
      <c r="R234" s="195"/>
      <c r="S234" s="195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</row>
    <row r="235" spans="17:45" s="54" customFormat="1" x14ac:dyDescent="0.25">
      <c r="Q235" s="195"/>
      <c r="R235" s="195"/>
      <c r="S235" s="195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</row>
    <row r="236" spans="17:45" s="54" customFormat="1" x14ac:dyDescent="0.25">
      <c r="Q236" s="195"/>
      <c r="R236" s="195"/>
      <c r="S236" s="195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</row>
    <row r="237" spans="17:45" s="54" customFormat="1" x14ac:dyDescent="0.25">
      <c r="Q237" s="195"/>
      <c r="R237" s="195"/>
      <c r="S237" s="195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</row>
    <row r="238" spans="17:45" s="54" customFormat="1" x14ac:dyDescent="0.25">
      <c r="Q238" s="195"/>
      <c r="R238" s="195"/>
      <c r="S238" s="195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</row>
    <row r="239" spans="17:45" s="54" customFormat="1" x14ac:dyDescent="0.25">
      <c r="Q239" s="195"/>
      <c r="R239" s="195"/>
      <c r="S239" s="195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</row>
    <row r="240" spans="17:45" s="54" customFormat="1" x14ac:dyDescent="0.25">
      <c r="Q240" s="195"/>
      <c r="R240" s="195"/>
      <c r="S240" s="195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</row>
    <row r="241" spans="17:45" s="54" customFormat="1" x14ac:dyDescent="0.25">
      <c r="Q241" s="195"/>
      <c r="R241" s="195"/>
      <c r="S241" s="195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</row>
    <row r="242" spans="17:45" s="54" customFormat="1" x14ac:dyDescent="0.25">
      <c r="Q242" s="195"/>
      <c r="R242" s="195"/>
      <c r="S242" s="195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</row>
    <row r="243" spans="17:45" s="54" customFormat="1" x14ac:dyDescent="0.25">
      <c r="Q243" s="195"/>
      <c r="R243" s="195"/>
      <c r="S243" s="195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</row>
    <row r="244" spans="17:45" s="54" customFormat="1" x14ac:dyDescent="0.25">
      <c r="Q244" s="195"/>
      <c r="R244" s="195"/>
      <c r="S244" s="195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</row>
    <row r="245" spans="17:45" s="54" customFormat="1" x14ac:dyDescent="0.25">
      <c r="Q245" s="195"/>
      <c r="R245" s="195"/>
      <c r="S245" s="195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</row>
    <row r="246" spans="17:45" s="54" customFormat="1" x14ac:dyDescent="0.25">
      <c r="Q246" s="195"/>
      <c r="R246" s="195"/>
      <c r="S246" s="195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</row>
    <row r="247" spans="17:45" s="54" customFormat="1" x14ac:dyDescent="0.25">
      <c r="Q247" s="195"/>
      <c r="R247" s="195"/>
      <c r="S247" s="195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</row>
    <row r="248" spans="17:45" s="54" customFormat="1" x14ac:dyDescent="0.25">
      <c r="Q248" s="195"/>
      <c r="R248" s="195"/>
      <c r="S248" s="195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</row>
    <row r="249" spans="17:45" s="54" customFormat="1" x14ac:dyDescent="0.25">
      <c r="Q249" s="195"/>
      <c r="R249" s="195"/>
      <c r="S249" s="195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</row>
    <row r="250" spans="17:45" s="54" customFormat="1" x14ac:dyDescent="0.25">
      <c r="Q250" s="195"/>
      <c r="R250" s="195"/>
      <c r="S250" s="195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</row>
    <row r="251" spans="17:45" s="54" customFormat="1" x14ac:dyDescent="0.25">
      <c r="Q251" s="195"/>
      <c r="R251" s="195"/>
      <c r="S251" s="195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</row>
    <row r="252" spans="17:45" s="54" customFormat="1" x14ac:dyDescent="0.25">
      <c r="Q252" s="195"/>
      <c r="R252" s="195"/>
      <c r="S252" s="195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</row>
    <row r="253" spans="17:45" s="54" customFormat="1" x14ac:dyDescent="0.25">
      <c r="Q253" s="195"/>
      <c r="R253" s="195"/>
      <c r="S253" s="195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</row>
    <row r="254" spans="17:45" s="54" customFormat="1" x14ac:dyDescent="0.25">
      <c r="Q254" s="195"/>
      <c r="R254" s="195"/>
      <c r="S254" s="195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</row>
    <row r="255" spans="17:45" s="54" customFormat="1" x14ac:dyDescent="0.25">
      <c r="Q255" s="195"/>
      <c r="R255" s="195"/>
      <c r="S255" s="195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</row>
    <row r="256" spans="17:45" s="54" customFormat="1" x14ac:dyDescent="0.25">
      <c r="Q256" s="195"/>
      <c r="R256" s="195"/>
      <c r="S256" s="195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</row>
    <row r="257" spans="17:45" s="54" customFormat="1" x14ac:dyDescent="0.25">
      <c r="Q257" s="195"/>
      <c r="R257" s="195"/>
      <c r="S257" s="195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</row>
    <row r="258" spans="17:45" s="54" customFormat="1" x14ac:dyDescent="0.25">
      <c r="Q258" s="195"/>
      <c r="R258" s="195"/>
      <c r="S258" s="195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</row>
    <row r="259" spans="17:45" s="54" customFormat="1" x14ac:dyDescent="0.25">
      <c r="Q259" s="195"/>
      <c r="R259" s="195"/>
      <c r="S259" s="195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</row>
    <row r="260" spans="17:45" s="54" customFormat="1" x14ac:dyDescent="0.25">
      <c r="Q260" s="195"/>
      <c r="R260" s="195"/>
      <c r="S260" s="195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</row>
    <row r="261" spans="17:45" s="54" customFormat="1" x14ac:dyDescent="0.25">
      <c r="Q261" s="195"/>
      <c r="R261" s="195"/>
      <c r="S261" s="195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</row>
    <row r="262" spans="17:45" s="54" customFormat="1" x14ac:dyDescent="0.25">
      <c r="Q262" s="195"/>
      <c r="R262" s="195"/>
      <c r="S262" s="195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</row>
    <row r="263" spans="17:45" s="54" customFormat="1" x14ac:dyDescent="0.25">
      <c r="Q263" s="195"/>
      <c r="R263" s="195"/>
      <c r="S263" s="195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</row>
    <row r="264" spans="17:45" s="54" customFormat="1" x14ac:dyDescent="0.25">
      <c r="Q264" s="195"/>
      <c r="R264" s="195"/>
      <c r="S264" s="195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</row>
    <row r="265" spans="17:45" s="54" customFormat="1" x14ac:dyDescent="0.25">
      <c r="Q265" s="195"/>
      <c r="R265" s="195"/>
      <c r="S265" s="195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</row>
    <row r="266" spans="17:45" s="54" customFormat="1" x14ac:dyDescent="0.25">
      <c r="Q266" s="195"/>
      <c r="R266" s="195"/>
      <c r="S266" s="195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</row>
    <row r="267" spans="17:45" s="54" customFormat="1" x14ac:dyDescent="0.25">
      <c r="Q267" s="195"/>
      <c r="R267" s="195"/>
      <c r="S267" s="195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</row>
    <row r="268" spans="17:45" s="54" customFormat="1" x14ac:dyDescent="0.25">
      <c r="Q268" s="195"/>
      <c r="R268" s="195"/>
      <c r="S268" s="195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</row>
    <row r="269" spans="17:45" s="54" customFormat="1" x14ac:dyDescent="0.25">
      <c r="Q269" s="195"/>
      <c r="R269" s="195"/>
      <c r="S269" s="195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</row>
    <row r="270" spans="17:45" s="54" customFormat="1" x14ac:dyDescent="0.25">
      <c r="Q270" s="195"/>
      <c r="R270" s="195"/>
      <c r="S270" s="195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</row>
    <row r="271" spans="17:45" s="54" customFormat="1" x14ac:dyDescent="0.25">
      <c r="Q271" s="195"/>
      <c r="R271" s="195"/>
      <c r="S271" s="195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</row>
    <row r="272" spans="17:45" s="54" customFormat="1" x14ac:dyDescent="0.25">
      <c r="Q272" s="195"/>
      <c r="R272" s="195"/>
      <c r="S272" s="195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</row>
    <row r="273" spans="17:45" s="54" customFormat="1" x14ac:dyDescent="0.25">
      <c r="Q273" s="195"/>
      <c r="R273" s="195"/>
      <c r="S273" s="195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</row>
    <row r="274" spans="17:45" s="54" customFormat="1" x14ac:dyDescent="0.25">
      <c r="Q274" s="195"/>
      <c r="R274" s="195"/>
      <c r="S274" s="195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</row>
    <row r="275" spans="17:45" s="54" customFormat="1" x14ac:dyDescent="0.25">
      <c r="Q275" s="195"/>
      <c r="R275" s="195"/>
      <c r="S275" s="195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</row>
    <row r="276" spans="17:45" s="54" customFormat="1" x14ac:dyDescent="0.25">
      <c r="Q276" s="195"/>
      <c r="R276" s="195"/>
      <c r="S276" s="195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</row>
    <row r="277" spans="17:45" s="54" customFormat="1" x14ac:dyDescent="0.25">
      <c r="Q277" s="195"/>
      <c r="R277" s="195"/>
      <c r="S277" s="195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</row>
    <row r="278" spans="17:45" s="54" customFormat="1" x14ac:dyDescent="0.25">
      <c r="Q278" s="195"/>
      <c r="R278" s="195"/>
      <c r="S278" s="195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</row>
    <row r="279" spans="17:45" s="54" customFormat="1" x14ac:dyDescent="0.25">
      <c r="Q279" s="195"/>
      <c r="R279" s="195"/>
      <c r="S279" s="195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</row>
    <row r="280" spans="17:45" s="54" customFormat="1" x14ac:dyDescent="0.25">
      <c r="Q280" s="195"/>
      <c r="R280" s="195"/>
      <c r="S280" s="195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</row>
    <row r="281" spans="17:45" s="54" customFormat="1" x14ac:dyDescent="0.25">
      <c r="Q281" s="195"/>
      <c r="R281" s="195"/>
      <c r="S281" s="195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</row>
    <row r="282" spans="17:45" s="54" customFormat="1" x14ac:dyDescent="0.25">
      <c r="Q282" s="195"/>
      <c r="R282" s="195"/>
      <c r="S282" s="195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</row>
    <row r="283" spans="17:45" s="54" customFormat="1" x14ac:dyDescent="0.25">
      <c r="Q283" s="195"/>
      <c r="R283" s="195"/>
      <c r="S283" s="195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</row>
    <row r="284" spans="17:45" s="54" customFormat="1" x14ac:dyDescent="0.25">
      <c r="Q284" s="195"/>
      <c r="R284" s="195"/>
      <c r="S284" s="195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</row>
    <row r="285" spans="17:45" s="54" customFormat="1" x14ac:dyDescent="0.25">
      <c r="Q285" s="195"/>
      <c r="R285" s="195"/>
      <c r="S285" s="195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</row>
    <row r="286" spans="17:45" s="54" customFormat="1" x14ac:dyDescent="0.25">
      <c r="Q286" s="195"/>
      <c r="R286" s="195"/>
      <c r="S286" s="195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</row>
    <row r="287" spans="17:45" s="54" customFormat="1" x14ac:dyDescent="0.25">
      <c r="Q287" s="195"/>
      <c r="R287" s="195"/>
      <c r="S287" s="195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</row>
    <row r="288" spans="17:45" s="54" customFormat="1" x14ac:dyDescent="0.25">
      <c r="Q288" s="195"/>
      <c r="R288" s="195"/>
      <c r="S288" s="195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</row>
    <row r="289" spans="17:45" s="54" customFormat="1" x14ac:dyDescent="0.25">
      <c r="Q289" s="195"/>
      <c r="R289" s="195"/>
      <c r="S289" s="195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</row>
    <row r="290" spans="17:45" s="54" customFormat="1" x14ac:dyDescent="0.25">
      <c r="Q290" s="195"/>
      <c r="R290" s="195"/>
      <c r="S290" s="195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</row>
    <row r="291" spans="17:45" s="54" customFormat="1" x14ac:dyDescent="0.25">
      <c r="Q291" s="195"/>
      <c r="R291" s="195"/>
      <c r="S291" s="195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</row>
    <row r="292" spans="17:45" s="54" customFormat="1" x14ac:dyDescent="0.25">
      <c r="Q292" s="195"/>
      <c r="R292" s="195"/>
      <c r="S292" s="195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</row>
    <row r="293" spans="17:45" s="54" customFormat="1" x14ac:dyDescent="0.25">
      <c r="Q293" s="195"/>
      <c r="R293" s="195"/>
      <c r="S293" s="195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</row>
    <row r="294" spans="17:45" s="54" customFormat="1" x14ac:dyDescent="0.25">
      <c r="Q294" s="195"/>
      <c r="R294" s="195"/>
      <c r="S294" s="195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</row>
    <row r="295" spans="17:45" s="54" customFormat="1" x14ac:dyDescent="0.25">
      <c r="Q295" s="195"/>
      <c r="R295" s="195"/>
      <c r="S295" s="195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</row>
    <row r="296" spans="17:45" s="54" customFormat="1" x14ac:dyDescent="0.25">
      <c r="Q296" s="195"/>
      <c r="R296" s="195"/>
      <c r="S296" s="195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</row>
    <row r="297" spans="17:45" s="54" customFormat="1" x14ac:dyDescent="0.25">
      <c r="Q297" s="195"/>
      <c r="R297" s="195"/>
      <c r="S297" s="195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</row>
    <row r="298" spans="17:45" s="54" customFormat="1" x14ac:dyDescent="0.25">
      <c r="Q298" s="195"/>
      <c r="R298" s="195"/>
      <c r="S298" s="195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</row>
    <row r="299" spans="17:45" s="54" customFormat="1" x14ac:dyDescent="0.25">
      <c r="Q299" s="195"/>
      <c r="R299" s="195"/>
      <c r="S299" s="195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</row>
    <row r="300" spans="17:45" s="54" customFormat="1" x14ac:dyDescent="0.25">
      <c r="Q300" s="195"/>
      <c r="R300" s="195"/>
      <c r="S300" s="195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</row>
    <row r="301" spans="17:45" s="54" customFormat="1" x14ac:dyDescent="0.25">
      <c r="Q301" s="195"/>
      <c r="R301" s="195"/>
      <c r="S301" s="195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</row>
    <row r="302" spans="17:45" s="54" customFormat="1" x14ac:dyDescent="0.25">
      <c r="Q302" s="195"/>
      <c r="R302" s="195"/>
      <c r="S302" s="195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</row>
    <row r="303" spans="17:45" s="54" customFormat="1" x14ac:dyDescent="0.25">
      <c r="Q303" s="195"/>
      <c r="R303" s="195"/>
      <c r="S303" s="195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</row>
    <row r="304" spans="17:45" s="54" customFormat="1" x14ac:dyDescent="0.25">
      <c r="Q304" s="195"/>
      <c r="R304" s="195"/>
      <c r="S304" s="195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</row>
    <row r="305" spans="17:45" s="54" customFormat="1" x14ac:dyDescent="0.25">
      <c r="Q305" s="195"/>
      <c r="R305" s="195"/>
      <c r="S305" s="195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</row>
    <row r="306" spans="17:45" s="54" customFormat="1" x14ac:dyDescent="0.25">
      <c r="Q306" s="195"/>
      <c r="R306" s="195"/>
      <c r="S306" s="195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</row>
    <row r="307" spans="17:45" s="54" customFormat="1" x14ac:dyDescent="0.25">
      <c r="Q307" s="195"/>
      <c r="R307" s="195"/>
      <c r="S307" s="195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</row>
    <row r="308" spans="17:45" s="54" customFormat="1" x14ac:dyDescent="0.25">
      <c r="Q308" s="195"/>
      <c r="R308" s="195"/>
      <c r="S308" s="195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</row>
    <row r="309" spans="17:45" s="54" customFormat="1" x14ac:dyDescent="0.25">
      <c r="Q309" s="195"/>
      <c r="R309" s="195"/>
      <c r="S309" s="195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</row>
    <row r="310" spans="17:45" s="54" customFormat="1" x14ac:dyDescent="0.25">
      <c r="Q310" s="195"/>
      <c r="R310" s="195"/>
      <c r="S310" s="195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</row>
    <row r="311" spans="17:45" s="54" customFormat="1" x14ac:dyDescent="0.25">
      <c r="Q311" s="195"/>
      <c r="R311" s="195"/>
      <c r="S311" s="195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</row>
    <row r="312" spans="17:45" s="54" customFormat="1" x14ac:dyDescent="0.25">
      <c r="Q312" s="195"/>
      <c r="R312" s="195"/>
      <c r="S312" s="195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</row>
    <row r="313" spans="17:45" s="54" customFormat="1" x14ac:dyDescent="0.25">
      <c r="Q313" s="195"/>
      <c r="R313" s="195"/>
      <c r="S313" s="195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</row>
    <row r="314" spans="17:45" s="54" customFormat="1" x14ac:dyDescent="0.25">
      <c r="Q314" s="195"/>
      <c r="R314" s="195"/>
      <c r="S314" s="195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</row>
    <row r="315" spans="17:45" s="54" customFormat="1" x14ac:dyDescent="0.25">
      <c r="Q315" s="195"/>
      <c r="R315" s="195"/>
      <c r="S315" s="195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</row>
    <row r="316" spans="17:45" s="54" customFormat="1" x14ac:dyDescent="0.25">
      <c r="Q316" s="195"/>
      <c r="R316" s="195"/>
      <c r="S316" s="195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</row>
    <row r="317" spans="17:45" s="54" customFormat="1" x14ac:dyDescent="0.25">
      <c r="Q317" s="195"/>
      <c r="R317" s="195"/>
      <c r="S317" s="195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</row>
    <row r="318" spans="17:45" s="54" customFormat="1" x14ac:dyDescent="0.25">
      <c r="Q318" s="195"/>
      <c r="R318" s="195"/>
      <c r="S318" s="195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</row>
    <row r="319" spans="17:45" s="54" customFormat="1" x14ac:dyDescent="0.25">
      <c r="Q319" s="195"/>
      <c r="R319" s="195"/>
      <c r="S319" s="195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</row>
    <row r="320" spans="17:45" s="54" customFormat="1" x14ac:dyDescent="0.25">
      <c r="Q320" s="195"/>
      <c r="R320" s="195"/>
      <c r="S320" s="195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</row>
    <row r="321" spans="17:45" s="54" customFormat="1" x14ac:dyDescent="0.25">
      <c r="Q321" s="195"/>
      <c r="R321" s="195"/>
      <c r="S321" s="195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</row>
    <row r="322" spans="17:45" s="54" customFormat="1" x14ac:dyDescent="0.25">
      <c r="Q322" s="195"/>
      <c r="R322" s="195"/>
      <c r="S322" s="195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</row>
    <row r="323" spans="17:45" s="54" customFormat="1" x14ac:dyDescent="0.25">
      <c r="Q323" s="195"/>
      <c r="R323" s="195"/>
      <c r="S323" s="195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</row>
    <row r="324" spans="17:45" s="54" customFormat="1" x14ac:dyDescent="0.25">
      <c r="Q324" s="195"/>
      <c r="R324" s="195"/>
      <c r="S324" s="195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</row>
    <row r="325" spans="17:45" s="54" customFormat="1" x14ac:dyDescent="0.25">
      <c r="Q325" s="195"/>
      <c r="R325" s="195"/>
      <c r="S325" s="195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</row>
    <row r="326" spans="17:45" s="54" customFormat="1" x14ac:dyDescent="0.25">
      <c r="Q326" s="195"/>
      <c r="R326" s="195"/>
      <c r="S326" s="195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</row>
    <row r="327" spans="17:45" s="54" customFormat="1" x14ac:dyDescent="0.25">
      <c r="Q327" s="195"/>
      <c r="R327" s="195"/>
      <c r="S327" s="195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</row>
    <row r="328" spans="17:45" s="54" customFormat="1" x14ac:dyDescent="0.25">
      <c r="Q328" s="195"/>
      <c r="R328" s="195"/>
      <c r="S328" s="195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</row>
    <row r="329" spans="17:45" s="54" customFormat="1" x14ac:dyDescent="0.25">
      <c r="Q329" s="195"/>
      <c r="R329" s="195"/>
      <c r="S329" s="195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</row>
    <row r="330" spans="17:45" s="54" customFormat="1" x14ac:dyDescent="0.25">
      <c r="Q330" s="195"/>
      <c r="R330" s="195"/>
      <c r="S330" s="195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</row>
    <row r="331" spans="17:45" s="54" customFormat="1" x14ac:dyDescent="0.25">
      <c r="Q331" s="195"/>
      <c r="R331" s="195"/>
      <c r="S331" s="195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</row>
    <row r="332" spans="17:45" s="54" customFormat="1" x14ac:dyDescent="0.25">
      <c r="Q332" s="195"/>
      <c r="R332" s="195"/>
      <c r="S332" s="195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</row>
    <row r="333" spans="17:45" s="54" customFormat="1" x14ac:dyDescent="0.25">
      <c r="Q333" s="195"/>
      <c r="R333" s="195"/>
      <c r="S333" s="195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</row>
    <row r="334" spans="17:45" s="54" customFormat="1" x14ac:dyDescent="0.25">
      <c r="Q334" s="195"/>
      <c r="R334" s="195"/>
      <c r="S334" s="195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</row>
    <row r="335" spans="17:45" s="54" customFormat="1" x14ac:dyDescent="0.25">
      <c r="Q335" s="195"/>
      <c r="R335" s="195"/>
      <c r="S335" s="195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</row>
    <row r="336" spans="17:45" s="54" customFormat="1" x14ac:dyDescent="0.25">
      <c r="Q336" s="195"/>
      <c r="R336" s="195"/>
      <c r="S336" s="195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</row>
    <row r="337" spans="17:45" s="54" customFormat="1" x14ac:dyDescent="0.25">
      <c r="Q337" s="195"/>
      <c r="R337" s="195"/>
      <c r="S337" s="195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</row>
    <row r="338" spans="17:45" s="54" customFormat="1" x14ac:dyDescent="0.25">
      <c r="Q338" s="195"/>
      <c r="R338" s="195"/>
      <c r="S338" s="195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</row>
    <row r="339" spans="17:45" s="54" customFormat="1" x14ac:dyDescent="0.25">
      <c r="Q339" s="195"/>
      <c r="R339" s="195"/>
      <c r="S339" s="195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</row>
    <row r="340" spans="17:45" s="54" customFormat="1" x14ac:dyDescent="0.25">
      <c r="Q340" s="195"/>
      <c r="R340" s="195"/>
      <c r="S340" s="195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</row>
    <row r="341" spans="17:45" s="54" customFormat="1" x14ac:dyDescent="0.25">
      <c r="Q341" s="195"/>
      <c r="R341" s="195"/>
      <c r="S341" s="195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</row>
    <row r="342" spans="17:45" s="54" customFormat="1" x14ac:dyDescent="0.25">
      <c r="Q342" s="195"/>
      <c r="R342" s="195"/>
      <c r="S342" s="195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</row>
    <row r="343" spans="17:45" s="54" customFormat="1" x14ac:dyDescent="0.25">
      <c r="Q343" s="195"/>
      <c r="R343" s="195"/>
      <c r="S343" s="195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</row>
    <row r="344" spans="17:45" s="54" customFormat="1" x14ac:dyDescent="0.25">
      <c r="Q344" s="195"/>
      <c r="R344" s="195"/>
      <c r="S344" s="195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</row>
    <row r="345" spans="17:45" s="54" customFormat="1" x14ac:dyDescent="0.25">
      <c r="Q345" s="195"/>
      <c r="R345" s="195"/>
      <c r="S345" s="195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</row>
    <row r="346" spans="17:45" s="54" customFormat="1" x14ac:dyDescent="0.25">
      <c r="Q346" s="195"/>
      <c r="R346" s="195"/>
      <c r="S346" s="195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</row>
    <row r="347" spans="17:45" s="54" customFormat="1" x14ac:dyDescent="0.25">
      <c r="Q347" s="195"/>
      <c r="R347" s="195"/>
      <c r="S347" s="195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</row>
    <row r="348" spans="17:45" s="54" customFormat="1" x14ac:dyDescent="0.25">
      <c r="Q348" s="195"/>
      <c r="R348" s="195"/>
      <c r="S348" s="195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</row>
    <row r="349" spans="17:45" s="54" customFormat="1" x14ac:dyDescent="0.25">
      <c r="Q349" s="195"/>
      <c r="R349" s="195"/>
      <c r="S349" s="195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</row>
    <row r="350" spans="17:45" s="54" customFormat="1" x14ac:dyDescent="0.25">
      <c r="Q350" s="195"/>
      <c r="R350" s="195"/>
      <c r="S350" s="195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</row>
    <row r="351" spans="17:45" s="54" customFormat="1" x14ac:dyDescent="0.25">
      <c r="Q351" s="195"/>
      <c r="R351" s="195"/>
      <c r="S351" s="195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</row>
    <row r="352" spans="17:45" s="54" customFormat="1" x14ac:dyDescent="0.25">
      <c r="Q352" s="195"/>
      <c r="R352" s="195"/>
      <c r="S352" s="195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</row>
    <row r="353" spans="17:45" s="54" customFormat="1" x14ac:dyDescent="0.25">
      <c r="Q353" s="195"/>
      <c r="R353" s="195"/>
      <c r="S353" s="195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</row>
    <row r="354" spans="17:45" s="54" customFormat="1" x14ac:dyDescent="0.25">
      <c r="Q354" s="195"/>
      <c r="R354" s="195"/>
      <c r="S354" s="195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</row>
    <row r="355" spans="17:45" s="54" customFormat="1" x14ac:dyDescent="0.25">
      <c r="Q355" s="195"/>
      <c r="R355" s="195"/>
      <c r="S355" s="195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</row>
    <row r="356" spans="17:45" s="54" customFormat="1" x14ac:dyDescent="0.25">
      <c r="Q356" s="195"/>
      <c r="R356" s="195"/>
      <c r="S356" s="195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</row>
    <row r="357" spans="17:45" s="54" customFormat="1" x14ac:dyDescent="0.25">
      <c r="Q357" s="195"/>
      <c r="R357" s="195"/>
      <c r="S357" s="195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</row>
    <row r="358" spans="17:45" s="54" customFormat="1" x14ac:dyDescent="0.25">
      <c r="Q358" s="195"/>
      <c r="R358" s="195"/>
      <c r="S358" s="195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</row>
    <row r="359" spans="17:45" s="54" customFormat="1" x14ac:dyDescent="0.25">
      <c r="Q359" s="195"/>
      <c r="R359" s="195"/>
      <c r="S359" s="195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</row>
    <row r="360" spans="17:45" s="54" customFormat="1" x14ac:dyDescent="0.25">
      <c r="Q360" s="195"/>
      <c r="R360" s="195"/>
      <c r="S360" s="195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</row>
    <row r="361" spans="17:45" s="54" customFormat="1" x14ac:dyDescent="0.25">
      <c r="Q361" s="195"/>
      <c r="R361" s="195"/>
      <c r="S361" s="195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</row>
    <row r="362" spans="17:45" s="54" customFormat="1" x14ac:dyDescent="0.25">
      <c r="Q362" s="195"/>
      <c r="R362" s="195"/>
      <c r="S362" s="195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</row>
    <row r="363" spans="17:45" s="54" customFormat="1" x14ac:dyDescent="0.25">
      <c r="Q363" s="195"/>
      <c r="R363" s="195"/>
      <c r="S363" s="195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</row>
    <row r="364" spans="17:45" s="54" customFormat="1" x14ac:dyDescent="0.25">
      <c r="Q364" s="195"/>
      <c r="R364" s="195"/>
      <c r="S364" s="195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</row>
    <row r="365" spans="17:45" s="54" customFormat="1" x14ac:dyDescent="0.25">
      <c r="Q365" s="195"/>
      <c r="R365" s="195"/>
      <c r="S365" s="195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</row>
    <row r="366" spans="17:45" s="54" customFormat="1" x14ac:dyDescent="0.25">
      <c r="Q366" s="195"/>
      <c r="R366" s="195"/>
      <c r="S366" s="195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</row>
    <row r="367" spans="17:45" s="54" customFormat="1" x14ac:dyDescent="0.25">
      <c r="Q367" s="195"/>
      <c r="R367" s="195"/>
      <c r="S367" s="195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</row>
    <row r="368" spans="17:45" s="54" customFormat="1" x14ac:dyDescent="0.25">
      <c r="Q368" s="195"/>
      <c r="R368" s="195"/>
      <c r="S368" s="195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</row>
    <row r="369" spans="17:45" s="54" customFormat="1" x14ac:dyDescent="0.25">
      <c r="Q369" s="195"/>
      <c r="R369" s="195"/>
      <c r="S369" s="195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</row>
    <row r="370" spans="17:45" s="54" customFormat="1" x14ac:dyDescent="0.25">
      <c r="Q370" s="195"/>
      <c r="R370" s="195"/>
      <c r="S370" s="195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</row>
    <row r="371" spans="17:45" s="54" customFormat="1" x14ac:dyDescent="0.25">
      <c r="Q371" s="195"/>
      <c r="R371" s="195"/>
      <c r="S371" s="195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</row>
    <row r="372" spans="17:45" s="54" customFormat="1" x14ac:dyDescent="0.25">
      <c r="Q372" s="195"/>
      <c r="R372" s="195"/>
      <c r="S372" s="195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</row>
    <row r="373" spans="17:45" s="54" customFormat="1" x14ac:dyDescent="0.25">
      <c r="Q373" s="195"/>
      <c r="R373" s="195"/>
      <c r="S373" s="195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</row>
    <row r="374" spans="17:45" s="54" customFormat="1" x14ac:dyDescent="0.25">
      <c r="Q374" s="195"/>
      <c r="R374" s="195"/>
      <c r="S374" s="195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</row>
    <row r="375" spans="17:45" s="54" customFormat="1" x14ac:dyDescent="0.25">
      <c r="Q375" s="195"/>
      <c r="R375" s="195"/>
      <c r="S375" s="195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</row>
    <row r="376" spans="17:45" s="54" customFormat="1" x14ac:dyDescent="0.25">
      <c r="Q376" s="195"/>
      <c r="R376" s="195"/>
      <c r="S376" s="195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</row>
    <row r="377" spans="17:45" s="54" customFormat="1" x14ac:dyDescent="0.25">
      <c r="Q377" s="195"/>
      <c r="R377" s="195"/>
      <c r="S377" s="195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</row>
    <row r="378" spans="17:45" s="54" customFormat="1" x14ac:dyDescent="0.25">
      <c r="Q378" s="195"/>
      <c r="R378" s="195"/>
      <c r="S378" s="195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</row>
    <row r="379" spans="17:45" s="54" customFormat="1" x14ac:dyDescent="0.25">
      <c r="Q379" s="195"/>
      <c r="R379" s="195"/>
      <c r="S379" s="195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</row>
    <row r="380" spans="17:45" s="54" customFormat="1" x14ac:dyDescent="0.25">
      <c r="Q380" s="195"/>
      <c r="R380" s="195"/>
      <c r="S380" s="195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</row>
    <row r="381" spans="17:45" s="54" customFormat="1" x14ac:dyDescent="0.25">
      <c r="Q381" s="195"/>
      <c r="R381" s="195"/>
      <c r="S381" s="195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</row>
    <row r="382" spans="17:45" s="54" customFormat="1" x14ac:dyDescent="0.25">
      <c r="Q382" s="195"/>
      <c r="R382" s="195"/>
      <c r="S382" s="195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</row>
    <row r="383" spans="17:45" s="54" customFormat="1" x14ac:dyDescent="0.25">
      <c r="Q383" s="195"/>
      <c r="R383" s="195"/>
      <c r="S383" s="195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</row>
    <row r="384" spans="17:45" s="54" customFormat="1" x14ac:dyDescent="0.25">
      <c r="Q384" s="195"/>
      <c r="R384" s="195"/>
      <c r="S384" s="195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</row>
    <row r="385" spans="17:45" s="54" customFormat="1" x14ac:dyDescent="0.25">
      <c r="Q385" s="195"/>
      <c r="R385" s="195"/>
      <c r="S385" s="195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</row>
    <row r="386" spans="17:45" s="54" customFormat="1" x14ac:dyDescent="0.25">
      <c r="Q386" s="195"/>
      <c r="R386" s="195"/>
      <c r="S386" s="195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</row>
    <row r="387" spans="17:45" s="54" customFormat="1" x14ac:dyDescent="0.25">
      <c r="Q387" s="195"/>
      <c r="R387" s="195"/>
      <c r="S387" s="195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</row>
    <row r="388" spans="17:45" s="54" customFormat="1" x14ac:dyDescent="0.25">
      <c r="Q388" s="195"/>
      <c r="R388" s="195"/>
      <c r="S388" s="195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</row>
    <row r="389" spans="17:45" s="54" customFormat="1" x14ac:dyDescent="0.25">
      <c r="Q389" s="195"/>
      <c r="R389" s="195"/>
      <c r="S389" s="195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</row>
    <row r="390" spans="17:45" s="54" customFormat="1" x14ac:dyDescent="0.25">
      <c r="Q390" s="195"/>
      <c r="R390" s="195"/>
      <c r="S390" s="195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</row>
    <row r="391" spans="17:45" s="54" customFormat="1" x14ac:dyDescent="0.25">
      <c r="Q391" s="195"/>
      <c r="R391" s="195"/>
      <c r="S391" s="195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</row>
    <row r="392" spans="17:45" s="54" customFormat="1" x14ac:dyDescent="0.25">
      <c r="Q392" s="195"/>
      <c r="R392" s="195"/>
      <c r="S392" s="195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</row>
    <row r="393" spans="17:45" s="54" customFormat="1" x14ac:dyDescent="0.25">
      <c r="Q393" s="195"/>
      <c r="R393" s="195"/>
      <c r="S393" s="195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</row>
    <row r="394" spans="17:45" s="54" customFormat="1" x14ac:dyDescent="0.25">
      <c r="Q394" s="195"/>
      <c r="R394" s="195"/>
      <c r="S394" s="195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</row>
    <row r="395" spans="17:45" s="54" customFormat="1" x14ac:dyDescent="0.25">
      <c r="Q395" s="195"/>
      <c r="R395" s="195"/>
      <c r="S395" s="195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</row>
    <row r="396" spans="17:45" s="54" customFormat="1" x14ac:dyDescent="0.25">
      <c r="Q396" s="195"/>
      <c r="R396" s="195"/>
      <c r="S396" s="195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</row>
    <row r="397" spans="17:45" s="54" customFormat="1" x14ac:dyDescent="0.25">
      <c r="Q397" s="195"/>
      <c r="R397" s="195"/>
      <c r="S397" s="195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</row>
    <row r="398" spans="17:45" s="54" customFormat="1" x14ac:dyDescent="0.25">
      <c r="Q398" s="195"/>
      <c r="R398" s="195"/>
      <c r="S398" s="195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</row>
    <row r="399" spans="17:45" s="54" customFormat="1" x14ac:dyDescent="0.25">
      <c r="Q399" s="195"/>
      <c r="R399" s="195"/>
      <c r="S399" s="195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</row>
    <row r="400" spans="17:45" s="54" customFormat="1" x14ac:dyDescent="0.25">
      <c r="Q400" s="195"/>
      <c r="R400" s="195"/>
      <c r="S400" s="195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</row>
    <row r="401" spans="17:45" s="54" customFormat="1" x14ac:dyDescent="0.25">
      <c r="Q401" s="195"/>
      <c r="R401" s="195"/>
      <c r="S401" s="195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</row>
    <row r="402" spans="17:45" s="54" customFormat="1" x14ac:dyDescent="0.25">
      <c r="Q402" s="195"/>
      <c r="R402" s="195"/>
      <c r="S402" s="195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</row>
    <row r="403" spans="17:45" s="54" customFormat="1" x14ac:dyDescent="0.25">
      <c r="Q403" s="195"/>
      <c r="R403" s="195"/>
      <c r="S403" s="195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</row>
    <row r="404" spans="17:45" s="54" customFormat="1" x14ac:dyDescent="0.25">
      <c r="Q404" s="195"/>
      <c r="R404" s="195"/>
      <c r="S404" s="195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</row>
    <row r="405" spans="17:45" s="54" customFormat="1" x14ac:dyDescent="0.25">
      <c r="Q405" s="195"/>
      <c r="R405" s="195"/>
      <c r="S405" s="195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</row>
    <row r="406" spans="17:45" s="54" customFormat="1" x14ac:dyDescent="0.25">
      <c r="Q406" s="195"/>
      <c r="R406" s="195"/>
      <c r="S406" s="195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</row>
    <row r="407" spans="17:45" s="54" customFormat="1" x14ac:dyDescent="0.25">
      <c r="Q407" s="195"/>
      <c r="R407" s="195"/>
      <c r="S407" s="195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</row>
    <row r="408" spans="17:45" s="54" customFormat="1" x14ac:dyDescent="0.25">
      <c r="Q408" s="195"/>
      <c r="R408" s="195"/>
      <c r="S408" s="195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</row>
    <row r="409" spans="17:45" s="54" customFormat="1" x14ac:dyDescent="0.25">
      <c r="Q409" s="195"/>
      <c r="R409" s="195"/>
      <c r="S409" s="195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</row>
    <row r="410" spans="17:45" s="54" customFormat="1" x14ac:dyDescent="0.25">
      <c r="Q410" s="195"/>
      <c r="R410" s="195"/>
      <c r="S410" s="195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</row>
    <row r="411" spans="17:45" s="54" customFormat="1" x14ac:dyDescent="0.25">
      <c r="Q411" s="195"/>
      <c r="R411" s="195"/>
      <c r="S411" s="195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</row>
    <row r="412" spans="17:45" s="54" customFormat="1" x14ac:dyDescent="0.25">
      <c r="Q412" s="195"/>
      <c r="R412" s="195"/>
      <c r="S412" s="195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</row>
    <row r="413" spans="17:45" s="54" customFormat="1" x14ac:dyDescent="0.25">
      <c r="Q413" s="195"/>
      <c r="R413" s="195"/>
      <c r="S413" s="195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</row>
    <row r="414" spans="17:45" s="54" customFormat="1" x14ac:dyDescent="0.25">
      <c r="Q414" s="195"/>
      <c r="R414" s="195"/>
      <c r="S414" s="195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</row>
    <row r="415" spans="17:45" s="54" customFormat="1" x14ac:dyDescent="0.25">
      <c r="Q415" s="195"/>
      <c r="R415" s="195"/>
      <c r="S415" s="195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</row>
    <row r="416" spans="17:45" s="54" customFormat="1" x14ac:dyDescent="0.25">
      <c r="Q416" s="195"/>
      <c r="R416" s="195"/>
      <c r="S416" s="195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</row>
    <row r="417" spans="17:45" s="54" customFormat="1" x14ac:dyDescent="0.25">
      <c r="Q417" s="195"/>
      <c r="R417" s="195"/>
      <c r="S417" s="195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</row>
    <row r="418" spans="17:45" s="54" customFormat="1" x14ac:dyDescent="0.25">
      <c r="Q418" s="195"/>
      <c r="R418" s="195"/>
      <c r="S418" s="195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</row>
    <row r="419" spans="17:45" s="54" customFormat="1" x14ac:dyDescent="0.25">
      <c r="Q419" s="195"/>
      <c r="R419" s="195"/>
      <c r="S419" s="195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</row>
    <row r="420" spans="17:45" s="54" customFormat="1" x14ac:dyDescent="0.25">
      <c r="Q420" s="195"/>
      <c r="R420" s="195"/>
      <c r="S420" s="195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</row>
    <row r="421" spans="17:45" s="54" customFormat="1" x14ac:dyDescent="0.25">
      <c r="Q421" s="195"/>
      <c r="R421" s="195"/>
      <c r="S421" s="195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</row>
    <row r="422" spans="17:45" s="54" customFormat="1" x14ac:dyDescent="0.25">
      <c r="Q422" s="195"/>
      <c r="R422" s="195"/>
      <c r="S422" s="195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</row>
    <row r="423" spans="17:45" s="54" customFormat="1" x14ac:dyDescent="0.25">
      <c r="Q423" s="195"/>
      <c r="R423" s="195"/>
      <c r="S423" s="195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</row>
    <row r="424" spans="17:45" s="54" customFormat="1" x14ac:dyDescent="0.25">
      <c r="Q424" s="195"/>
      <c r="R424" s="195"/>
      <c r="S424" s="195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</row>
    <row r="425" spans="17:45" s="54" customFormat="1" x14ac:dyDescent="0.25">
      <c r="Q425" s="195"/>
      <c r="R425" s="195"/>
      <c r="S425" s="195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</row>
    <row r="426" spans="17:45" s="54" customFormat="1" x14ac:dyDescent="0.25">
      <c r="Q426" s="195"/>
      <c r="R426" s="195"/>
      <c r="S426" s="195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</row>
    <row r="427" spans="17:45" s="54" customFormat="1" x14ac:dyDescent="0.25">
      <c r="Q427" s="195"/>
      <c r="R427" s="195"/>
      <c r="S427" s="195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</row>
    <row r="428" spans="17:45" s="54" customFormat="1" x14ac:dyDescent="0.25">
      <c r="Q428" s="195"/>
      <c r="R428" s="195"/>
      <c r="S428" s="195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</row>
    <row r="429" spans="17:45" s="54" customFormat="1" x14ac:dyDescent="0.25">
      <c r="Q429" s="195"/>
      <c r="R429" s="195"/>
      <c r="S429" s="195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</row>
    <row r="430" spans="17:45" s="54" customFormat="1" x14ac:dyDescent="0.25">
      <c r="Q430" s="195"/>
      <c r="R430" s="195"/>
      <c r="S430" s="195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</row>
    <row r="431" spans="17:45" s="54" customFormat="1" x14ac:dyDescent="0.25">
      <c r="Q431" s="195"/>
      <c r="R431" s="195"/>
      <c r="S431" s="195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</row>
    <row r="432" spans="17:45" s="54" customFormat="1" x14ac:dyDescent="0.25">
      <c r="Q432" s="195"/>
      <c r="R432" s="195"/>
      <c r="S432" s="195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</row>
    <row r="433" spans="17:45" s="54" customFormat="1" x14ac:dyDescent="0.25">
      <c r="Q433" s="195"/>
      <c r="R433" s="195"/>
      <c r="S433" s="195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</row>
    <row r="434" spans="17:45" s="54" customFormat="1" x14ac:dyDescent="0.25">
      <c r="Q434" s="195"/>
      <c r="R434" s="195"/>
      <c r="S434" s="195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</row>
    <row r="435" spans="17:45" s="54" customFormat="1" x14ac:dyDescent="0.25">
      <c r="Q435" s="195"/>
      <c r="R435" s="195"/>
      <c r="S435" s="195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</row>
    <row r="436" spans="17:45" s="54" customFormat="1" x14ac:dyDescent="0.25">
      <c r="Q436" s="195"/>
      <c r="R436" s="195"/>
      <c r="S436" s="195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</row>
    <row r="437" spans="17:45" s="54" customFormat="1" x14ac:dyDescent="0.25">
      <c r="Q437" s="195"/>
      <c r="R437" s="195"/>
      <c r="S437" s="195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</row>
    <row r="438" spans="17:45" s="54" customFormat="1" x14ac:dyDescent="0.25">
      <c r="Q438" s="195"/>
      <c r="R438" s="195"/>
      <c r="S438" s="195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</row>
    <row r="439" spans="17:45" s="54" customFormat="1" x14ac:dyDescent="0.25">
      <c r="Q439" s="195"/>
      <c r="R439" s="195"/>
      <c r="S439" s="195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</row>
    <row r="440" spans="17:45" s="54" customFormat="1" x14ac:dyDescent="0.25">
      <c r="Q440" s="195"/>
      <c r="R440" s="195"/>
      <c r="S440" s="195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</row>
    <row r="441" spans="17:45" s="54" customFormat="1" x14ac:dyDescent="0.25">
      <c r="Q441" s="195"/>
      <c r="R441" s="195"/>
      <c r="S441" s="195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</row>
    <row r="442" spans="17:45" s="54" customFormat="1" x14ac:dyDescent="0.25">
      <c r="Q442" s="195"/>
      <c r="R442" s="195"/>
      <c r="S442" s="195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</row>
    <row r="443" spans="17:45" s="54" customFormat="1" x14ac:dyDescent="0.25">
      <c r="Q443" s="195"/>
      <c r="R443" s="195"/>
      <c r="S443" s="195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</row>
  </sheetData>
  <autoFilter ref="A14:BN37" xr:uid="{324C5670-4AF6-497F-88E4-6201F3446704}"/>
  <mergeCells count="15"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Q13:S13"/>
    <mergeCell ref="H13:K13"/>
    <mergeCell ref="L13:P13"/>
    <mergeCell ref="D40:H40"/>
    <mergeCell ref="L40:O40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5CF91-005F-4242-A815-AB463E55A615}">
  <sheetPr>
    <tabColor rgb="FF00B050"/>
    <pageSetUpPr fitToPage="1"/>
  </sheetPr>
  <dimension ref="A1:BQ432"/>
  <sheetViews>
    <sheetView showZeros="0" topLeftCell="A3" zoomScaleNormal="100" workbookViewId="0">
      <selection activeCell="K20" sqref="K20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7" width="8.28515625" style="4" customWidth="1"/>
    <col min="8" max="15" width="10.7109375" style="4" customWidth="1"/>
    <col min="16" max="16" width="13.28515625" style="4" customWidth="1"/>
    <col min="17" max="19" width="5.7109375" style="195" customWidth="1" outlineLevel="1"/>
    <col min="20" max="22" width="10.7109375" style="90" customWidth="1" outlineLevel="1"/>
    <col min="23" max="45" width="10.7109375" style="90" customWidth="1"/>
    <col min="46" max="66" width="8.85546875" style="54"/>
    <col min="67" max="16384" width="8.85546875" style="4"/>
  </cols>
  <sheetData>
    <row r="1" spans="1:68" ht="15" x14ac:dyDescent="0.2">
      <c r="A1" s="408" t="s">
        <v>626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68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68" ht="15" x14ac:dyDescent="0.2">
      <c r="A3" s="409" t="str">
        <f>Kopsavilkums!C16</f>
        <v>Sagatavošanas un zemes darbi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4" spans="1:68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</row>
    <row r="5" spans="1:68" x14ac:dyDescent="0.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68" x14ac:dyDescent="0.2">
      <c r="A6" s="1" t="s">
        <v>64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68" x14ac:dyDescent="0.2">
      <c r="A7" s="1" t="s">
        <v>65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68" x14ac:dyDescent="0.2">
      <c r="A8" s="2" t="s">
        <v>66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68" x14ac:dyDescent="0.2">
      <c r="A9" s="1" t="s">
        <v>54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0</v>
      </c>
      <c r="P9" s="18">
        <f>P26</f>
        <v>0</v>
      </c>
    </row>
    <row r="10" spans="1:68" ht="4.9000000000000004" customHeight="1" x14ac:dyDescent="0.2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68" x14ac:dyDescent="0.2">
      <c r="A11" s="107" t="s">
        <v>67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 xml:space="preserve">Tāme sastādīta: </v>
      </c>
    </row>
    <row r="12" spans="1:68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68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</v>
      </c>
      <c r="E13" s="418" t="s">
        <v>5</v>
      </c>
      <c r="F13" s="412" t="s">
        <v>6</v>
      </c>
      <c r="G13" s="420" t="s">
        <v>19</v>
      </c>
      <c r="H13" s="404" t="s">
        <v>7</v>
      </c>
      <c r="I13" s="405"/>
      <c r="J13" s="405"/>
      <c r="K13" s="406"/>
      <c r="L13" s="405" t="s">
        <v>8</v>
      </c>
      <c r="M13" s="405"/>
      <c r="N13" s="405"/>
      <c r="O13" s="405"/>
      <c r="P13" s="406"/>
      <c r="Q13" s="403"/>
      <c r="R13" s="403"/>
      <c r="S13" s="403"/>
    </row>
    <row r="14" spans="1:68" ht="34.9" customHeight="1" thickBot="1" x14ac:dyDescent="0.25">
      <c r="A14" s="413"/>
      <c r="B14" s="415"/>
      <c r="C14" s="415"/>
      <c r="D14" s="417"/>
      <c r="E14" s="419"/>
      <c r="F14" s="413"/>
      <c r="G14" s="421"/>
      <c r="H14" s="56" t="s">
        <v>17</v>
      </c>
      <c r="I14" s="60" t="s">
        <v>16</v>
      </c>
      <c r="J14" s="57" t="s">
        <v>15</v>
      </c>
      <c r="K14" s="58" t="s">
        <v>18</v>
      </c>
      <c r="L14" s="58" t="s">
        <v>9</v>
      </c>
      <c r="M14" s="56" t="s">
        <v>17</v>
      </c>
      <c r="N14" s="60" t="s">
        <v>16</v>
      </c>
      <c r="O14" s="57" t="s">
        <v>15</v>
      </c>
      <c r="P14" s="59" t="s">
        <v>14</v>
      </c>
      <c r="Q14" s="196"/>
      <c r="R14" s="196"/>
      <c r="S14" s="196"/>
    </row>
    <row r="15" spans="1:68" s="224" customFormat="1" x14ac:dyDescent="0.2">
      <c r="A15" s="333"/>
      <c r="B15" s="138"/>
      <c r="C15" s="177" t="str">
        <f>A3</f>
        <v>Sagatavošanas un zemes darbi</v>
      </c>
      <c r="D15" s="139"/>
      <c r="E15" s="140"/>
      <c r="F15" s="26"/>
      <c r="G15" s="61"/>
      <c r="H15" s="221"/>
      <c r="I15" s="222"/>
      <c r="J15" s="222"/>
      <c r="K15" s="25"/>
      <c r="L15" s="25"/>
      <c r="M15" s="26"/>
      <c r="N15" s="27"/>
      <c r="O15" s="28"/>
      <c r="P15" s="29"/>
      <c r="Q15" s="195"/>
      <c r="R15" s="195"/>
      <c r="S15" s="195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23"/>
      <c r="AU15" s="223"/>
      <c r="AV15" s="223"/>
      <c r="AW15" s="223"/>
      <c r="AX15" s="223"/>
      <c r="AY15" s="223"/>
      <c r="AZ15" s="223"/>
      <c r="BA15" s="223"/>
      <c r="BB15" s="223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3"/>
    </row>
    <row r="16" spans="1:68" s="230" customFormat="1" ht="12.75" x14ac:dyDescent="0.15">
      <c r="A16" s="225"/>
      <c r="B16" s="226"/>
      <c r="C16" s="227" t="s">
        <v>363</v>
      </c>
      <c r="D16" s="134"/>
      <c r="E16" s="228"/>
      <c r="F16" s="26"/>
      <c r="G16" s="61"/>
      <c r="H16" s="221"/>
      <c r="I16" s="222"/>
      <c r="J16" s="222"/>
      <c r="K16" s="25"/>
      <c r="L16" s="25"/>
      <c r="M16" s="26"/>
      <c r="N16" s="27"/>
      <c r="O16" s="28"/>
      <c r="P16" s="29"/>
      <c r="Q16" s="195"/>
      <c r="R16" s="195"/>
      <c r="S16" s="195"/>
      <c r="T16" s="229"/>
      <c r="U16" s="229"/>
      <c r="V16" s="207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29"/>
      <c r="AS16" s="229"/>
      <c r="AT16" s="229"/>
      <c r="AU16" s="229"/>
      <c r="AV16" s="229"/>
      <c r="AW16" s="229"/>
      <c r="AX16" s="229"/>
      <c r="AY16" s="229"/>
      <c r="AZ16" s="229"/>
      <c r="BA16" s="229"/>
      <c r="BB16" s="229"/>
      <c r="BC16" s="229"/>
      <c r="BD16" s="229"/>
      <c r="BE16" s="229"/>
      <c r="BF16" s="229"/>
      <c r="BG16" s="229"/>
      <c r="BH16" s="229"/>
      <c r="BI16" s="229"/>
      <c r="BJ16" s="229"/>
      <c r="BK16" s="229"/>
      <c r="BL16" s="229"/>
      <c r="BM16" s="229"/>
      <c r="BN16" s="229"/>
      <c r="BO16" s="229"/>
      <c r="BP16" s="229"/>
    </row>
    <row r="17" spans="1:69" s="220" customFormat="1" x14ac:dyDescent="0.2">
      <c r="A17" s="334" t="s">
        <v>34</v>
      </c>
      <c r="B17" s="361">
        <v>1</v>
      </c>
      <c r="C17" s="231" t="s">
        <v>364</v>
      </c>
      <c r="D17" s="232" t="s">
        <v>360</v>
      </c>
      <c r="E17" s="233">
        <v>1</v>
      </c>
      <c r="F17" s="26"/>
      <c r="G17" s="61"/>
      <c r="H17" s="221"/>
      <c r="I17" s="222"/>
      <c r="J17" s="222"/>
      <c r="K17" s="25"/>
      <c r="L17" s="25"/>
      <c r="M17" s="26"/>
      <c r="N17" s="27"/>
      <c r="O17" s="28"/>
      <c r="P17" s="29"/>
      <c r="Q17" s="195"/>
      <c r="R17" s="195"/>
      <c r="S17" s="195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</row>
    <row r="18" spans="1:69" s="220" customFormat="1" x14ac:dyDescent="0.2">
      <c r="A18" s="334" t="s">
        <v>35</v>
      </c>
      <c r="B18" s="361">
        <v>2</v>
      </c>
      <c r="C18" s="231" t="s">
        <v>365</v>
      </c>
      <c r="D18" s="232" t="s">
        <v>360</v>
      </c>
      <c r="E18" s="233">
        <v>1</v>
      </c>
      <c r="F18" s="26"/>
      <c r="G18" s="61"/>
      <c r="H18" s="221"/>
      <c r="I18" s="222"/>
      <c r="J18" s="222"/>
      <c r="K18" s="25"/>
      <c r="L18" s="25"/>
      <c r="M18" s="26"/>
      <c r="N18" s="27"/>
      <c r="O18" s="28"/>
      <c r="P18" s="29"/>
      <c r="Q18" s="195"/>
      <c r="R18" s="195"/>
      <c r="S18" s="195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</row>
    <row r="19" spans="1:69" s="220" customFormat="1" x14ac:dyDescent="0.2">
      <c r="A19" s="334"/>
      <c r="B19" s="362"/>
      <c r="C19" s="227" t="s">
        <v>53</v>
      </c>
      <c r="D19" s="134"/>
      <c r="E19" s="228"/>
      <c r="F19" s="26"/>
      <c r="G19" s="61"/>
      <c r="H19" s="221"/>
      <c r="I19" s="222"/>
      <c r="J19" s="222"/>
      <c r="K19" s="25"/>
      <c r="L19" s="25"/>
      <c r="M19" s="26"/>
      <c r="N19" s="27"/>
      <c r="O19" s="28"/>
      <c r="P19" s="29"/>
      <c r="Q19" s="195"/>
      <c r="R19" s="195"/>
      <c r="S19" s="195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</row>
    <row r="20" spans="1:69" s="220" customFormat="1" ht="22.5" x14ac:dyDescent="0.2">
      <c r="A20" s="334" t="s">
        <v>36</v>
      </c>
      <c r="B20" s="361">
        <v>3</v>
      </c>
      <c r="C20" s="231" t="s">
        <v>654</v>
      </c>
      <c r="D20" s="232" t="s">
        <v>43</v>
      </c>
      <c r="E20" s="233">
        <v>1600</v>
      </c>
      <c r="F20" s="26"/>
      <c r="G20" s="61"/>
      <c r="H20" s="221"/>
      <c r="I20" s="222"/>
      <c r="J20" s="222"/>
      <c r="K20" s="25"/>
      <c r="L20" s="25"/>
      <c r="M20" s="26"/>
      <c r="N20" s="27"/>
      <c r="O20" s="28"/>
      <c r="P20" s="29"/>
      <c r="Q20" s="195"/>
      <c r="R20" s="195"/>
      <c r="S20" s="195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</row>
    <row r="21" spans="1:69" s="220" customFormat="1" ht="39" customHeight="1" x14ac:dyDescent="0.2">
      <c r="A21" s="334" t="s">
        <v>37</v>
      </c>
      <c r="B21" s="361">
        <v>4</v>
      </c>
      <c r="C21" s="231" t="s">
        <v>655</v>
      </c>
      <c r="D21" s="232" t="s">
        <v>42</v>
      </c>
      <c r="E21" s="233">
        <f>ROUND(E20*0.55,1)</f>
        <v>880</v>
      </c>
      <c r="F21" s="26"/>
      <c r="G21" s="61"/>
      <c r="H21" s="221"/>
      <c r="I21" s="222"/>
      <c r="J21" s="222"/>
      <c r="K21" s="25"/>
      <c r="L21" s="25"/>
      <c r="M21" s="26"/>
      <c r="N21" s="27"/>
      <c r="O21" s="28"/>
      <c r="P21" s="29"/>
      <c r="Q21" s="195"/>
      <c r="R21" s="195"/>
      <c r="S21" s="195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</row>
    <row r="22" spans="1:69" s="220" customFormat="1" x14ac:dyDescent="0.2">
      <c r="A22" s="334" t="s">
        <v>38</v>
      </c>
      <c r="B22" s="362" t="s">
        <v>38</v>
      </c>
      <c r="C22" s="231" t="s">
        <v>366</v>
      </c>
      <c r="D22" s="232" t="s">
        <v>42</v>
      </c>
      <c r="E22" s="233">
        <f>ROUND(E20*0.4,1)</f>
        <v>640</v>
      </c>
      <c r="F22" s="26"/>
      <c r="G22" s="61"/>
      <c r="H22" s="221"/>
      <c r="I22" s="222"/>
      <c r="J22" s="222"/>
      <c r="K22" s="25"/>
      <c r="L22" s="25"/>
      <c r="M22" s="26"/>
      <c r="N22" s="27"/>
      <c r="O22" s="28"/>
      <c r="P22" s="29"/>
      <c r="Q22" s="195"/>
      <c r="R22" s="195"/>
      <c r="S22" s="195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</row>
    <row r="23" spans="1:69" s="220" customFormat="1" ht="22.5" x14ac:dyDescent="0.2">
      <c r="A23" s="334" t="s">
        <v>39</v>
      </c>
      <c r="B23" s="361">
        <v>6</v>
      </c>
      <c r="C23" s="231" t="s">
        <v>367</v>
      </c>
      <c r="D23" s="232" t="s">
        <v>42</v>
      </c>
      <c r="E23" s="181">
        <f>ROUND(E22*5%,1)</f>
        <v>32</v>
      </c>
      <c r="F23" s="26"/>
      <c r="G23" s="61"/>
      <c r="H23" s="221"/>
      <c r="I23" s="222"/>
      <c r="J23" s="222"/>
      <c r="K23" s="25"/>
      <c r="L23" s="25"/>
      <c r="M23" s="26"/>
      <c r="N23" s="27"/>
      <c r="O23" s="28"/>
      <c r="P23" s="29"/>
      <c r="Q23" s="195"/>
      <c r="R23" s="195"/>
      <c r="S23" s="195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</row>
    <row r="24" spans="1:69" s="220" customFormat="1" ht="33.75" x14ac:dyDescent="0.2">
      <c r="A24" s="334" t="s">
        <v>40</v>
      </c>
      <c r="B24" s="360" t="s">
        <v>40</v>
      </c>
      <c r="C24" s="231" t="s">
        <v>374</v>
      </c>
      <c r="D24" s="232" t="s">
        <v>42</v>
      </c>
      <c r="E24" s="233">
        <f>ROUND(SUM(E22:E23),1)</f>
        <v>672</v>
      </c>
      <c r="F24" s="26"/>
      <c r="G24" s="61"/>
      <c r="H24" s="221"/>
      <c r="I24" s="222"/>
      <c r="J24" s="222"/>
      <c r="K24" s="25"/>
      <c r="L24" s="25"/>
      <c r="M24" s="26"/>
      <c r="N24" s="27"/>
      <c r="O24" s="28"/>
      <c r="P24" s="29"/>
      <c r="Q24" s="195"/>
      <c r="R24" s="195"/>
      <c r="S24" s="195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</row>
    <row r="25" spans="1:69" s="220" customFormat="1" ht="45.75" thickBot="1" x14ac:dyDescent="0.25">
      <c r="A25" s="334" t="s">
        <v>313</v>
      </c>
      <c r="B25" s="361">
        <v>8</v>
      </c>
      <c r="C25" s="231" t="s">
        <v>368</v>
      </c>
      <c r="D25" s="232" t="s">
        <v>42</v>
      </c>
      <c r="E25" s="233">
        <f>ROUND(E24/5,1)</f>
        <v>134.4</v>
      </c>
      <c r="F25" s="26"/>
      <c r="G25" s="61"/>
      <c r="H25" s="221"/>
      <c r="I25" s="222"/>
      <c r="J25" s="222"/>
      <c r="K25" s="25"/>
      <c r="L25" s="25"/>
      <c r="M25" s="26"/>
      <c r="N25" s="27"/>
      <c r="O25" s="28"/>
      <c r="P25" s="29"/>
      <c r="Q25" s="195"/>
      <c r="R25" s="195"/>
      <c r="S25" s="195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</row>
    <row r="26" spans="1:69" ht="15" customHeight="1" thickBo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2" t="s">
        <v>130</v>
      </c>
      <c r="L26" s="33">
        <f>ROUND(SUM(L15:L25),2)</f>
        <v>0</v>
      </c>
      <c r="M26" s="33">
        <f>ROUND(SUM(M15:M25),2)</f>
        <v>0</v>
      </c>
      <c r="N26" s="34">
        <f>ROUND(SUM(N15:N25),2)</f>
        <v>0</v>
      </c>
      <c r="O26" s="35">
        <f>ROUND(SUM(O15:O25),2)</f>
        <v>0</v>
      </c>
      <c r="P26" s="36">
        <f>ROUND(SUM(P15:P25),2)</f>
        <v>0</v>
      </c>
    </row>
    <row r="27" spans="1:69" ht="34.9" customHeight="1" x14ac:dyDescent="0.2">
      <c r="A27" s="37"/>
      <c r="B27" s="7"/>
      <c r="C27" s="38"/>
      <c r="D27" s="39"/>
      <c r="E27" s="5"/>
      <c r="F27" s="5"/>
      <c r="G27" s="5"/>
      <c r="H27" s="7"/>
      <c r="I27" s="7"/>
      <c r="J27" s="7"/>
      <c r="K27" s="7"/>
      <c r="L27" s="7"/>
      <c r="M27" s="7"/>
      <c r="N27" s="7"/>
      <c r="O27" s="7"/>
      <c r="P27" s="7"/>
    </row>
    <row r="28" spans="1:69" x14ac:dyDescent="0.2">
      <c r="A28" s="40"/>
      <c r="B28" s="41"/>
      <c r="C28" s="41" t="s">
        <v>10</v>
      </c>
      <c r="D28" s="42"/>
      <c r="E28" s="43"/>
      <c r="F28" s="44"/>
      <c r="G28" s="42"/>
      <c r="H28" s="45">
        <f>Kopsavilkums!C$43</f>
        <v>0</v>
      </c>
      <c r="I28" s="46" t="str">
        <f>Kopsavilkums!D$43</f>
        <v>datums</v>
      </c>
      <c r="J28" s="46"/>
      <c r="K28" s="41" t="s">
        <v>11</v>
      </c>
      <c r="L28" s="47"/>
      <c r="M28" s="44"/>
      <c r="N28" s="44"/>
      <c r="O28" s="45">
        <f>Kopsavilkums!C$48</f>
        <v>0</v>
      </c>
      <c r="P28" s="46" t="str">
        <f>Kopsavilkums!D$48</f>
        <v>datums</v>
      </c>
    </row>
    <row r="29" spans="1:69" x14ac:dyDescent="0.2">
      <c r="A29" s="48"/>
      <c r="B29" s="49"/>
      <c r="C29" s="50"/>
      <c r="D29" s="407" t="s">
        <v>12</v>
      </c>
      <c r="E29" s="407"/>
      <c r="F29" s="407"/>
      <c r="G29" s="407"/>
      <c r="H29" s="407"/>
      <c r="I29" s="7"/>
      <c r="J29" s="7"/>
      <c r="K29" s="7"/>
      <c r="L29" s="407" t="s">
        <v>12</v>
      </c>
      <c r="M29" s="407"/>
      <c r="N29" s="407"/>
      <c r="O29" s="407"/>
      <c r="P29" s="7"/>
    </row>
    <row r="30" spans="1:69" s="54" customFormat="1" x14ac:dyDescent="0.2">
      <c r="A30" s="37"/>
      <c r="B30" s="7"/>
      <c r="C30" s="38"/>
      <c r="D30" s="5"/>
      <c r="E30" s="5"/>
      <c r="F30" s="5"/>
      <c r="G30" s="5"/>
      <c r="H30" s="7"/>
      <c r="I30" s="7"/>
      <c r="J30" s="7"/>
      <c r="K30" s="7"/>
      <c r="L30" s="7"/>
      <c r="M30" s="7"/>
      <c r="N30" s="7"/>
      <c r="O30" s="7"/>
      <c r="P30" s="7"/>
      <c r="Q30" s="195"/>
      <c r="R30" s="195"/>
      <c r="S30" s="195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BO30" s="4"/>
      <c r="BP30" s="4"/>
      <c r="BQ30" s="4"/>
    </row>
    <row r="31" spans="1:69" s="54" customFormat="1" x14ac:dyDescent="0.2">
      <c r="A31" s="51"/>
      <c r="B31" s="46"/>
      <c r="C31" s="52"/>
      <c r="D31" s="52" t="str">
        <f>Kopsavilkums!B$46</f>
        <v>-</v>
      </c>
      <c r="E31" s="5"/>
      <c r="F31" s="5"/>
      <c r="G31" s="5"/>
      <c r="H31" s="7"/>
      <c r="I31" s="7"/>
      <c r="J31" s="7"/>
      <c r="K31" s="7"/>
      <c r="L31" s="52" t="str">
        <f>Kopsavilkums!B$51</f>
        <v>Sert.Nr.</v>
      </c>
      <c r="M31" s="53"/>
      <c r="N31" s="7"/>
      <c r="O31" s="7"/>
      <c r="P31" s="7"/>
      <c r="Q31" s="195"/>
      <c r="R31" s="195"/>
      <c r="S31" s="195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BO31" s="4"/>
      <c r="BP31" s="4"/>
      <c r="BQ31" s="4"/>
    </row>
    <row r="32" spans="1:69" s="54" customFormat="1" x14ac:dyDescent="0.25">
      <c r="Q32" s="195"/>
      <c r="R32" s="195"/>
      <c r="S32" s="195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</row>
    <row r="33" spans="17:45" s="54" customFormat="1" x14ac:dyDescent="0.25">
      <c r="Q33" s="195"/>
      <c r="R33" s="195"/>
      <c r="S33" s="195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</row>
    <row r="34" spans="17:45" s="54" customFormat="1" x14ac:dyDescent="0.25">
      <c r="Q34" s="195"/>
      <c r="R34" s="195"/>
      <c r="S34" s="195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</row>
    <row r="35" spans="17:45" s="54" customFormat="1" x14ac:dyDescent="0.25">
      <c r="Q35" s="195"/>
      <c r="R35" s="195"/>
      <c r="S35" s="195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</row>
    <row r="36" spans="17:45" s="54" customFormat="1" x14ac:dyDescent="0.25">
      <c r="Q36" s="195"/>
      <c r="R36" s="195"/>
      <c r="S36" s="195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</row>
    <row r="37" spans="17:45" s="54" customFormat="1" x14ac:dyDescent="0.25">
      <c r="Q37" s="195"/>
      <c r="R37" s="195"/>
      <c r="S37" s="195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</row>
    <row r="38" spans="17:45" s="54" customFormat="1" x14ac:dyDescent="0.25">
      <c r="Q38" s="195"/>
      <c r="R38" s="195"/>
      <c r="S38" s="195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</row>
    <row r="39" spans="17:45" s="54" customFormat="1" x14ac:dyDescent="0.25">
      <c r="Q39" s="195"/>
      <c r="R39" s="195"/>
      <c r="S39" s="195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</row>
    <row r="40" spans="17:45" s="54" customFormat="1" x14ac:dyDescent="0.25">
      <c r="Q40" s="195"/>
      <c r="R40" s="195"/>
      <c r="S40" s="195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</row>
    <row r="41" spans="17:45" s="54" customFormat="1" x14ac:dyDescent="0.25">
      <c r="Q41" s="195"/>
      <c r="R41" s="195"/>
      <c r="S41" s="195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</row>
    <row r="42" spans="17:45" s="54" customFormat="1" x14ac:dyDescent="0.25">
      <c r="Q42" s="195"/>
      <c r="R42" s="195"/>
      <c r="S42" s="195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</row>
    <row r="43" spans="17:45" s="54" customFormat="1" x14ac:dyDescent="0.25">
      <c r="Q43" s="195"/>
      <c r="R43" s="195"/>
      <c r="S43" s="195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</row>
    <row r="44" spans="17:45" s="54" customFormat="1" x14ac:dyDescent="0.25">
      <c r="Q44" s="195"/>
      <c r="R44" s="195"/>
      <c r="S44" s="195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</row>
    <row r="45" spans="17:45" s="54" customFormat="1" x14ac:dyDescent="0.25">
      <c r="Q45" s="195"/>
      <c r="R45" s="195"/>
      <c r="S45" s="195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</row>
    <row r="46" spans="17:45" s="54" customFormat="1" x14ac:dyDescent="0.25">
      <c r="Q46" s="195"/>
      <c r="R46" s="195"/>
      <c r="S46" s="195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</row>
    <row r="47" spans="17:45" s="54" customFormat="1" x14ac:dyDescent="0.25">
      <c r="Q47" s="195"/>
      <c r="R47" s="195"/>
      <c r="S47" s="195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</row>
    <row r="48" spans="17:45" s="54" customFormat="1" x14ac:dyDescent="0.25">
      <c r="Q48" s="195"/>
      <c r="R48" s="195"/>
      <c r="S48" s="195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</row>
    <row r="49" spans="17:45" s="54" customFormat="1" x14ac:dyDescent="0.25">
      <c r="Q49" s="195"/>
      <c r="R49" s="195"/>
      <c r="S49" s="195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</row>
    <row r="50" spans="17:45" s="54" customFormat="1" x14ac:dyDescent="0.25">
      <c r="Q50" s="195"/>
      <c r="R50" s="195"/>
      <c r="S50" s="195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</row>
    <row r="51" spans="17:45" s="54" customFormat="1" x14ac:dyDescent="0.25">
      <c r="Q51" s="195"/>
      <c r="R51" s="195"/>
      <c r="S51" s="195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</row>
    <row r="52" spans="17:45" s="54" customFormat="1" x14ac:dyDescent="0.25">
      <c r="Q52" s="195"/>
      <c r="R52" s="195"/>
      <c r="S52" s="195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</row>
    <row r="53" spans="17:45" s="54" customFormat="1" x14ac:dyDescent="0.25">
      <c r="Q53" s="195"/>
      <c r="R53" s="195"/>
      <c r="S53" s="195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</row>
    <row r="54" spans="17:45" s="54" customFormat="1" x14ac:dyDescent="0.25">
      <c r="Q54" s="195"/>
      <c r="R54" s="195"/>
      <c r="S54" s="195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</row>
    <row r="55" spans="17:45" s="54" customFormat="1" x14ac:dyDescent="0.25">
      <c r="Q55" s="195"/>
      <c r="R55" s="195"/>
      <c r="S55" s="195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</row>
    <row r="56" spans="17:45" s="54" customFormat="1" x14ac:dyDescent="0.25">
      <c r="Q56" s="195"/>
      <c r="R56" s="195"/>
      <c r="S56" s="195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</row>
    <row r="57" spans="17:45" s="54" customFormat="1" x14ac:dyDescent="0.25">
      <c r="Q57" s="195"/>
      <c r="R57" s="195"/>
      <c r="S57" s="195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</row>
    <row r="58" spans="17:45" s="54" customFormat="1" x14ac:dyDescent="0.25">
      <c r="Q58" s="195"/>
      <c r="R58" s="195"/>
      <c r="S58" s="195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</row>
    <row r="59" spans="17:45" s="54" customFormat="1" x14ac:dyDescent="0.25">
      <c r="Q59" s="195"/>
      <c r="R59" s="195"/>
      <c r="S59" s="195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</row>
    <row r="60" spans="17:45" s="54" customFormat="1" x14ac:dyDescent="0.25">
      <c r="Q60" s="195"/>
      <c r="R60" s="195"/>
      <c r="S60" s="195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</row>
    <row r="61" spans="17:45" s="54" customFormat="1" x14ac:dyDescent="0.25">
      <c r="Q61" s="195"/>
      <c r="R61" s="195"/>
      <c r="S61" s="195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</row>
    <row r="62" spans="17:45" s="54" customFormat="1" x14ac:dyDescent="0.25">
      <c r="Q62" s="195"/>
      <c r="R62" s="195"/>
      <c r="S62" s="195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</row>
    <row r="63" spans="17:45" s="54" customFormat="1" x14ac:dyDescent="0.25">
      <c r="Q63" s="195"/>
      <c r="R63" s="195"/>
      <c r="S63" s="195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</row>
    <row r="64" spans="17:45" s="54" customFormat="1" x14ac:dyDescent="0.25">
      <c r="Q64" s="195"/>
      <c r="R64" s="195"/>
      <c r="S64" s="195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</row>
    <row r="65" spans="17:45" s="54" customFormat="1" x14ac:dyDescent="0.25">
      <c r="Q65" s="195"/>
      <c r="R65" s="195"/>
      <c r="S65" s="195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</row>
    <row r="66" spans="17:45" s="54" customFormat="1" x14ac:dyDescent="0.25">
      <c r="Q66" s="195"/>
      <c r="R66" s="195"/>
      <c r="S66" s="195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</row>
    <row r="67" spans="17:45" s="54" customFormat="1" x14ac:dyDescent="0.25">
      <c r="Q67" s="195"/>
      <c r="R67" s="195"/>
      <c r="S67" s="195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</row>
    <row r="68" spans="17:45" s="54" customFormat="1" x14ac:dyDescent="0.25">
      <c r="Q68" s="195"/>
      <c r="R68" s="195"/>
      <c r="S68" s="195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</row>
    <row r="69" spans="17:45" s="54" customFormat="1" x14ac:dyDescent="0.25">
      <c r="Q69" s="195"/>
      <c r="R69" s="195"/>
      <c r="S69" s="195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</row>
    <row r="70" spans="17:45" s="54" customFormat="1" x14ac:dyDescent="0.25">
      <c r="Q70" s="195"/>
      <c r="R70" s="195"/>
      <c r="S70" s="195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</row>
    <row r="71" spans="17:45" s="54" customFormat="1" x14ac:dyDescent="0.25">
      <c r="Q71" s="195"/>
      <c r="R71" s="195"/>
      <c r="S71" s="195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</row>
    <row r="72" spans="17:45" s="54" customFormat="1" x14ac:dyDescent="0.25">
      <c r="Q72" s="195"/>
      <c r="R72" s="195"/>
      <c r="S72" s="195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</row>
    <row r="73" spans="17:45" s="54" customFormat="1" x14ac:dyDescent="0.25">
      <c r="Q73" s="195"/>
      <c r="R73" s="195"/>
      <c r="S73" s="195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</row>
    <row r="74" spans="17:45" s="54" customFormat="1" x14ac:dyDescent="0.25">
      <c r="Q74" s="195"/>
      <c r="R74" s="195"/>
      <c r="S74" s="195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</row>
    <row r="75" spans="17:45" s="54" customFormat="1" x14ac:dyDescent="0.25">
      <c r="Q75" s="195"/>
      <c r="R75" s="195"/>
      <c r="S75" s="195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</row>
    <row r="76" spans="17:45" s="54" customFormat="1" x14ac:dyDescent="0.25">
      <c r="Q76" s="195"/>
      <c r="R76" s="195"/>
      <c r="S76" s="195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</row>
    <row r="77" spans="17:45" s="54" customFormat="1" x14ac:dyDescent="0.25">
      <c r="Q77" s="195"/>
      <c r="R77" s="195"/>
      <c r="S77" s="195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</row>
    <row r="78" spans="17:45" s="54" customFormat="1" x14ac:dyDescent="0.25">
      <c r="Q78" s="195"/>
      <c r="R78" s="195"/>
      <c r="S78" s="195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</row>
    <row r="79" spans="17:45" s="54" customFormat="1" x14ac:dyDescent="0.25">
      <c r="Q79" s="195"/>
      <c r="R79" s="195"/>
      <c r="S79" s="195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</row>
    <row r="80" spans="17:45" s="54" customFormat="1" x14ac:dyDescent="0.25">
      <c r="Q80" s="195"/>
      <c r="R80" s="195"/>
      <c r="S80" s="195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</row>
    <row r="81" spans="17:45" s="54" customFormat="1" x14ac:dyDescent="0.25">
      <c r="Q81" s="195"/>
      <c r="R81" s="195"/>
      <c r="S81" s="195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</row>
    <row r="82" spans="17:45" s="54" customFormat="1" x14ac:dyDescent="0.25">
      <c r="Q82" s="195"/>
      <c r="R82" s="195"/>
      <c r="S82" s="195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</row>
    <row r="83" spans="17:45" s="54" customFormat="1" x14ac:dyDescent="0.25">
      <c r="Q83" s="195"/>
      <c r="R83" s="195"/>
      <c r="S83" s="195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</row>
    <row r="84" spans="17:45" s="54" customFormat="1" x14ac:dyDescent="0.25">
      <c r="Q84" s="195"/>
      <c r="R84" s="195"/>
      <c r="S84" s="195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</row>
    <row r="85" spans="17:45" s="54" customFormat="1" x14ac:dyDescent="0.25">
      <c r="Q85" s="195"/>
      <c r="R85" s="195"/>
      <c r="S85" s="195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</row>
    <row r="86" spans="17:45" s="54" customFormat="1" x14ac:dyDescent="0.25">
      <c r="Q86" s="195"/>
      <c r="R86" s="195"/>
      <c r="S86" s="195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</row>
    <row r="87" spans="17:45" s="54" customFormat="1" x14ac:dyDescent="0.25">
      <c r="Q87" s="195"/>
      <c r="R87" s="195"/>
      <c r="S87" s="195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</row>
    <row r="88" spans="17:45" s="54" customFormat="1" x14ac:dyDescent="0.25">
      <c r="Q88" s="195"/>
      <c r="R88" s="195"/>
      <c r="S88" s="195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</row>
    <row r="89" spans="17:45" s="54" customFormat="1" x14ac:dyDescent="0.25">
      <c r="Q89" s="195"/>
      <c r="R89" s="195"/>
      <c r="S89" s="195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</row>
    <row r="90" spans="17:45" s="54" customFormat="1" x14ac:dyDescent="0.25">
      <c r="Q90" s="195"/>
      <c r="R90" s="195"/>
      <c r="S90" s="195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</row>
    <row r="91" spans="17:45" s="54" customFormat="1" x14ac:dyDescent="0.25">
      <c r="Q91" s="195"/>
      <c r="R91" s="195"/>
      <c r="S91" s="195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</row>
    <row r="92" spans="17:45" s="54" customFormat="1" x14ac:dyDescent="0.25">
      <c r="Q92" s="195"/>
      <c r="R92" s="195"/>
      <c r="S92" s="195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</row>
    <row r="93" spans="17:45" s="54" customFormat="1" x14ac:dyDescent="0.25">
      <c r="Q93" s="195"/>
      <c r="R93" s="195"/>
      <c r="S93" s="195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</row>
    <row r="94" spans="17:45" s="54" customFormat="1" x14ac:dyDescent="0.25">
      <c r="Q94" s="195"/>
      <c r="R94" s="195"/>
      <c r="S94" s="195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</row>
    <row r="95" spans="17:45" s="54" customFormat="1" x14ac:dyDescent="0.25">
      <c r="Q95" s="195"/>
      <c r="R95" s="195"/>
      <c r="S95" s="195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</row>
    <row r="96" spans="17:45" s="54" customFormat="1" x14ac:dyDescent="0.25">
      <c r="Q96" s="195"/>
      <c r="R96" s="195"/>
      <c r="S96" s="195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</row>
    <row r="97" spans="17:45" s="54" customFormat="1" x14ac:dyDescent="0.25">
      <c r="Q97" s="195"/>
      <c r="R97" s="195"/>
      <c r="S97" s="195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</row>
    <row r="98" spans="17:45" s="54" customFormat="1" x14ac:dyDescent="0.25">
      <c r="Q98" s="195"/>
      <c r="R98" s="195"/>
      <c r="S98" s="195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</row>
    <row r="99" spans="17:45" s="54" customFormat="1" x14ac:dyDescent="0.25">
      <c r="Q99" s="195"/>
      <c r="R99" s="195"/>
      <c r="S99" s="195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</row>
    <row r="100" spans="17:45" s="54" customFormat="1" x14ac:dyDescent="0.25">
      <c r="Q100" s="195"/>
      <c r="R100" s="195"/>
      <c r="S100" s="195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</row>
    <row r="101" spans="17:45" s="54" customFormat="1" x14ac:dyDescent="0.25">
      <c r="Q101" s="195"/>
      <c r="R101" s="195"/>
      <c r="S101" s="195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</row>
    <row r="102" spans="17:45" s="54" customFormat="1" x14ac:dyDescent="0.25">
      <c r="Q102" s="195"/>
      <c r="R102" s="195"/>
      <c r="S102" s="195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</row>
    <row r="103" spans="17:45" s="54" customFormat="1" x14ac:dyDescent="0.25">
      <c r="Q103" s="195"/>
      <c r="R103" s="195"/>
      <c r="S103" s="195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</row>
    <row r="104" spans="17:45" s="54" customFormat="1" x14ac:dyDescent="0.25">
      <c r="Q104" s="195"/>
      <c r="R104" s="195"/>
      <c r="S104" s="195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</row>
    <row r="105" spans="17:45" s="54" customFormat="1" x14ac:dyDescent="0.25">
      <c r="Q105" s="195"/>
      <c r="R105" s="195"/>
      <c r="S105" s="195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</row>
    <row r="106" spans="17:45" s="54" customFormat="1" x14ac:dyDescent="0.25">
      <c r="Q106" s="195"/>
      <c r="R106" s="195"/>
      <c r="S106" s="195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</row>
    <row r="107" spans="17:45" s="54" customFormat="1" x14ac:dyDescent="0.25">
      <c r="Q107" s="195"/>
      <c r="R107" s="195"/>
      <c r="S107" s="195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</row>
    <row r="108" spans="17:45" s="54" customFormat="1" x14ac:dyDescent="0.25">
      <c r="Q108" s="195"/>
      <c r="R108" s="195"/>
      <c r="S108" s="195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</row>
    <row r="109" spans="17:45" s="54" customFormat="1" x14ac:dyDescent="0.25">
      <c r="Q109" s="195"/>
      <c r="R109" s="195"/>
      <c r="S109" s="195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</row>
    <row r="110" spans="17:45" s="54" customFormat="1" x14ac:dyDescent="0.25">
      <c r="Q110" s="195"/>
      <c r="R110" s="195"/>
      <c r="S110" s="195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</row>
    <row r="111" spans="17:45" s="54" customFormat="1" x14ac:dyDescent="0.25">
      <c r="Q111" s="195"/>
      <c r="R111" s="195"/>
      <c r="S111" s="195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</row>
    <row r="112" spans="17:45" s="54" customFormat="1" x14ac:dyDescent="0.25">
      <c r="Q112" s="195"/>
      <c r="R112" s="195"/>
      <c r="S112" s="195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</row>
    <row r="113" spans="17:45" s="54" customFormat="1" x14ac:dyDescent="0.25">
      <c r="Q113" s="195"/>
      <c r="R113" s="195"/>
      <c r="S113" s="195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</row>
    <row r="114" spans="17:45" s="54" customFormat="1" x14ac:dyDescent="0.25">
      <c r="Q114" s="195"/>
      <c r="R114" s="195"/>
      <c r="S114" s="195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</row>
    <row r="115" spans="17:45" s="54" customFormat="1" x14ac:dyDescent="0.25">
      <c r="Q115" s="195"/>
      <c r="R115" s="195"/>
      <c r="S115" s="195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</row>
    <row r="116" spans="17:45" s="54" customFormat="1" x14ac:dyDescent="0.25">
      <c r="Q116" s="195"/>
      <c r="R116" s="195"/>
      <c r="S116" s="195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</row>
    <row r="117" spans="17:45" s="54" customFormat="1" x14ac:dyDescent="0.25">
      <c r="Q117" s="195"/>
      <c r="R117" s="195"/>
      <c r="S117" s="195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</row>
    <row r="118" spans="17:45" s="54" customFormat="1" x14ac:dyDescent="0.25">
      <c r="Q118" s="195"/>
      <c r="R118" s="195"/>
      <c r="S118" s="195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</row>
    <row r="119" spans="17:45" s="54" customFormat="1" x14ac:dyDescent="0.25">
      <c r="Q119" s="195"/>
      <c r="R119" s="195"/>
      <c r="S119" s="195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</row>
    <row r="120" spans="17:45" s="54" customFormat="1" x14ac:dyDescent="0.25">
      <c r="Q120" s="195"/>
      <c r="R120" s="195"/>
      <c r="S120" s="195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</row>
    <row r="121" spans="17:45" s="54" customFormat="1" x14ac:dyDescent="0.25">
      <c r="Q121" s="195"/>
      <c r="R121" s="195"/>
      <c r="S121" s="195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</row>
    <row r="122" spans="17:45" s="54" customFormat="1" x14ac:dyDescent="0.25">
      <c r="Q122" s="195"/>
      <c r="R122" s="195"/>
      <c r="S122" s="195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</row>
    <row r="123" spans="17:45" s="54" customFormat="1" x14ac:dyDescent="0.25">
      <c r="Q123" s="195"/>
      <c r="R123" s="195"/>
      <c r="S123" s="195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</row>
    <row r="124" spans="17:45" s="54" customFormat="1" x14ac:dyDescent="0.25">
      <c r="Q124" s="195"/>
      <c r="R124" s="195"/>
      <c r="S124" s="195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</row>
    <row r="125" spans="17:45" s="54" customFormat="1" x14ac:dyDescent="0.25">
      <c r="Q125" s="195"/>
      <c r="R125" s="195"/>
      <c r="S125" s="195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</row>
    <row r="126" spans="17:45" s="54" customFormat="1" x14ac:dyDescent="0.25">
      <c r="Q126" s="195"/>
      <c r="R126" s="195"/>
      <c r="S126" s="195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</row>
    <row r="127" spans="17:45" s="54" customFormat="1" x14ac:dyDescent="0.25">
      <c r="Q127" s="195"/>
      <c r="R127" s="195"/>
      <c r="S127" s="195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</row>
    <row r="128" spans="17:45" s="54" customFormat="1" x14ac:dyDescent="0.25">
      <c r="Q128" s="195"/>
      <c r="R128" s="195"/>
      <c r="S128" s="195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</row>
    <row r="129" spans="17:45" s="54" customFormat="1" x14ac:dyDescent="0.25">
      <c r="Q129" s="195"/>
      <c r="R129" s="195"/>
      <c r="S129" s="195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</row>
    <row r="130" spans="17:45" s="54" customFormat="1" x14ac:dyDescent="0.25">
      <c r="Q130" s="195"/>
      <c r="R130" s="195"/>
      <c r="S130" s="195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</row>
    <row r="131" spans="17:45" s="54" customFormat="1" x14ac:dyDescent="0.25">
      <c r="Q131" s="195"/>
      <c r="R131" s="195"/>
      <c r="S131" s="195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</row>
    <row r="132" spans="17:45" s="54" customFormat="1" x14ac:dyDescent="0.25">
      <c r="Q132" s="195"/>
      <c r="R132" s="195"/>
      <c r="S132" s="195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</row>
    <row r="133" spans="17:45" s="54" customFormat="1" x14ac:dyDescent="0.25">
      <c r="Q133" s="195"/>
      <c r="R133" s="195"/>
      <c r="S133" s="195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</row>
    <row r="134" spans="17:45" s="54" customFormat="1" x14ac:dyDescent="0.25">
      <c r="Q134" s="195"/>
      <c r="R134" s="195"/>
      <c r="S134" s="195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</row>
    <row r="135" spans="17:45" s="54" customFormat="1" x14ac:dyDescent="0.25">
      <c r="Q135" s="195"/>
      <c r="R135" s="195"/>
      <c r="S135" s="195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</row>
    <row r="136" spans="17:45" s="54" customFormat="1" x14ac:dyDescent="0.25">
      <c r="Q136" s="195"/>
      <c r="R136" s="195"/>
      <c r="S136" s="195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</row>
    <row r="137" spans="17:45" s="54" customFormat="1" x14ac:dyDescent="0.25">
      <c r="Q137" s="195"/>
      <c r="R137" s="195"/>
      <c r="S137" s="195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</row>
    <row r="138" spans="17:45" s="54" customFormat="1" x14ac:dyDescent="0.25">
      <c r="Q138" s="195"/>
      <c r="R138" s="195"/>
      <c r="S138" s="195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</row>
    <row r="139" spans="17:45" s="54" customFormat="1" x14ac:dyDescent="0.25">
      <c r="Q139" s="195"/>
      <c r="R139" s="195"/>
      <c r="S139" s="195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</row>
    <row r="140" spans="17:45" s="54" customFormat="1" x14ac:dyDescent="0.25">
      <c r="Q140" s="195"/>
      <c r="R140" s="195"/>
      <c r="S140" s="195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</row>
    <row r="141" spans="17:45" s="54" customFormat="1" x14ac:dyDescent="0.25">
      <c r="Q141" s="195"/>
      <c r="R141" s="195"/>
      <c r="S141" s="195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</row>
    <row r="142" spans="17:45" s="54" customFormat="1" x14ac:dyDescent="0.25">
      <c r="Q142" s="195"/>
      <c r="R142" s="195"/>
      <c r="S142" s="195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</row>
    <row r="143" spans="17:45" s="54" customFormat="1" x14ac:dyDescent="0.25">
      <c r="Q143" s="195"/>
      <c r="R143" s="195"/>
      <c r="S143" s="195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</row>
    <row r="144" spans="17:45" s="54" customFormat="1" x14ac:dyDescent="0.25">
      <c r="Q144" s="195"/>
      <c r="R144" s="195"/>
      <c r="S144" s="195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</row>
    <row r="145" spans="17:45" s="54" customFormat="1" x14ac:dyDescent="0.25">
      <c r="Q145" s="195"/>
      <c r="R145" s="195"/>
      <c r="S145" s="195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</row>
    <row r="146" spans="17:45" s="54" customFormat="1" x14ac:dyDescent="0.25">
      <c r="Q146" s="195"/>
      <c r="R146" s="195"/>
      <c r="S146" s="195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</row>
    <row r="147" spans="17:45" s="54" customFormat="1" x14ac:dyDescent="0.25">
      <c r="Q147" s="195"/>
      <c r="R147" s="195"/>
      <c r="S147" s="195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</row>
    <row r="148" spans="17:45" s="54" customFormat="1" x14ac:dyDescent="0.25">
      <c r="Q148" s="195"/>
      <c r="R148" s="195"/>
      <c r="S148" s="195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</row>
    <row r="149" spans="17:45" s="54" customFormat="1" x14ac:dyDescent="0.25">
      <c r="Q149" s="195"/>
      <c r="R149" s="195"/>
      <c r="S149" s="195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</row>
    <row r="150" spans="17:45" s="54" customFormat="1" x14ac:dyDescent="0.25">
      <c r="Q150" s="195"/>
      <c r="R150" s="195"/>
      <c r="S150" s="195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</row>
    <row r="151" spans="17:45" s="54" customFormat="1" x14ac:dyDescent="0.25">
      <c r="Q151" s="195"/>
      <c r="R151" s="195"/>
      <c r="S151" s="195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</row>
    <row r="152" spans="17:45" s="54" customFormat="1" x14ac:dyDescent="0.25">
      <c r="Q152" s="195"/>
      <c r="R152" s="195"/>
      <c r="S152" s="195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</row>
    <row r="153" spans="17:45" s="54" customFormat="1" x14ac:dyDescent="0.25">
      <c r="Q153" s="195"/>
      <c r="R153" s="195"/>
      <c r="S153" s="195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</row>
    <row r="154" spans="17:45" s="54" customFormat="1" x14ac:dyDescent="0.25">
      <c r="Q154" s="195"/>
      <c r="R154" s="195"/>
      <c r="S154" s="195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</row>
    <row r="155" spans="17:45" s="54" customFormat="1" x14ac:dyDescent="0.25">
      <c r="Q155" s="195"/>
      <c r="R155" s="195"/>
      <c r="S155" s="195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</row>
    <row r="156" spans="17:45" s="54" customFormat="1" x14ac:dyDescent="0.25">
      <c r="Q156" s="195"/>
      <c r="R156" s="195"/>
      <c r="S156" s="195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</row>
    <row r="157" spans="17:45" s="54" customFormat="1" x14ac:dyDescent="0.25">
      <c r="Q157" s="195"/>
      <c r="R157" s="195"/>
      <c r="S157" s="195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</row>
    <row r="158" spans="17:45" s="54" customFormat="1" x14ac:dyDescent="0.25">
      <c r="Q158" s="195"/>
      <c r="R158" s="195"/>
      <c r="S158" s="195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</row>
    <row r="159" spans="17:45" s="54" customFormat="1" x14ac:dyDescent="0.25">
      <c r="Q159" s="195"/>
      <c r="R159" s="195"/>
      <c r="S159" s="195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</row>
    <row r="160" spans="17:45" s="54" customFormat="1" x14ac:dyDescent="0.25">
      <c r="Q160" s="195"/>
      <c r="R160" s="195"/>
      <c r="S160" s="195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</row>
    <row r="161" spans="17:45" s="54" customFormat="1" x14ac:dyDescent="0.25">
      <c r="Q161" s="195"/>
      <c r="R161" s="195"/>
      <c r="S161" s="195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</row>
    <row r="162" spans="17:45" s="54" customFormat="1" x14ac:dyDescent="0.25">
      <c r="Q162" s="195"/>
      <c r="R162" s="195"/>
      <c r="S162" s="195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</row>
    <row r="163" spans="17:45" s="54" customFormat="1" x14ac:dyDescent="0.25">
      <c r="Q163" s="195"/>
      <c r="R163" s="195"/>
      <c r="S163" s="195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</row>
    <row r="164" spans="17:45" s="54" customFormat="1" x14ac:dyDescent="0.25">
      <c r="Q164" s="195"/>
      <c r="R164" s="195"/>
      <c r="S164" s="195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</row>
    <row r="165" spans="17:45" s="54" customFormat="1" x14ac:dyDescent="0.25">
      <c r="Q165" s="195"/>
      <c r="R165" s="195"/>
      <c r="S165" s="195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</row>
    <row r="166" spans="17:45" s="54" customFormat="1" x14ac:dyDescent="0.25">
      <c r="Q166" s="195"/>
      <c r="R166" s="195"/>
      <c r="S166" s="195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</row>
    <row r="167" spans="17:45" s="54" customFormat="1" x14ac:dyDescent="0.25">
      <c r="Q167" s="195"/>
      <c r="R167" s="195"/>
      <c r="S167" s="195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</row>
    <row r="168" spans="17:45" s="54" customFormat="1" x14ac:dyDescent="0.25">
      <c r="Q168" s="195"/>
      <c r="R168" s="195"/>
      <c r="S168" s="195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</row>
    <row r="169" spans="17:45" s="54" customFormat="1" x14ac:dyDescent="0.25">
      <c r="Q169" s="195"/>
      <c r="R169" s="195"/>
      <c r="S169" s="195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</row>
    <row r="170" spans="17:45" s="54" customFormat="1" x14ac:dyDescent="0.25">
      <c r="Q170" s="195"/>
      <c r="R170" s="195"/>
      <c r="S170" s="195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</row>
    <row r="171" spans="17:45" s="54" customFormat="1" x14ac:dyDescent="0.25">
      <c r="Q171" s="195"/>
      <c r="R171" s="195"/>
      <c r="S171" s="195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</row>
    <row r="172" spans="17:45" s="54" customFormat="1" x14ac:dyDescent="0.25">
      <c r="Q172" s="195"/>
      <c r="R172" s="195"/>
      <c r="S172" s="195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</row>
    <row r="173" spans="17:45" s="54" customFormat="1" x14ac:dyDescent="0.25">
      <c r="Q173" s="195"/>
      <c r="R173" s="195"/>
      <c r="S173" s="195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</row>
    <row r="174" spans="17:45" s="54" customFormat="1" x14ac:dyDescent="0.25">
      <c r="Q174" s="195"/>
      <c r="R174" s="195"/>
      <c r="S174" s="195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</row>
    <row r="175" spans="17:45" s="54" customFormat="1" x14ac:dyDescent="0.25">
      <c r="Q175" s="195"/>
      <c r="R175" s="195"/>
      <c r="S175" s="195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</row>
    <row r="176" spans="17:45" s="54" customFormat="1" x14ac:dyDescent="0.25">
      <c r="Q176" s="195"/>
      <c r="R176" s="195"/>
      <c r="S176" s="195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</row>
    <row r="177" spans="17:45" s="54" customFormat="1" x14ac:dyDescent="0.25">
      <c r="Q177" s="195"/>
      <c r="R177" s="195"/>
      <c r="S177" s="195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</row>
    <row r="178" spans="17:45" s="54" customFormat="1" x14ac:dyDescent="0.25">
      <c r="Q178" s="195"/>
      <c r="R178" s="195"/>
      <c r="S178" s="195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</row>
    <row r="179" spans="17:45" s="54" customFormat="1" x14ac:dyDescent="0.25">
      <c r="Q179" s="195"/>
      <c r="R179" s="195"/>
      <c r="S179" s="195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</row>
    <row r="180" spans="17:45" s="54" customFormat="1" x14ac:dyDescent="0.25">
      <c r="Q180" s="195"/>
      <c r="R180" s="195"/>
      <c r="S180" s="195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</row>
    <row r="181" spans="17:45" s="54" customFormat="1" x14ac:dyDescent="0.25">
      <c r="Q181" s="195"/>
      <c r="R181" s="195"/>
      <c r="S181" s="195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</row>
    <row r="182" spans="17:45" s="54" customFormat="1" x14ac:dyDescent="0.25">
      <c r="Q182" s="195"/>
      <c r="R182" s="195"/>
      <c r="S182" s="195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</row>
    <row r="183" spans="17:45" s="54" customFormat="1" x14ac:dyDescent="0.25">
      <c r="Q183" s="195"/>
      <c r="R183" s="195"/>
      <c r="S183" s="195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</row>
    <row r="184" spans="17:45" s="54" customFormat="1" x14ac:dyDescent="0.25">
      <c r="Q184" s="195"/>
      <c r="R184" s="195"/>
      <c r="S184" s="195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</row>
    <row r="185" spans="17:45" s="54" customFormat="1" x14ac:dyDescent="0.25">
      <c r="Q185" s="195"/>
      <c r="R185" s="195"/>
      <c r="S185" s="195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</row>
    <row r="186" spans="17:45" s="54" customFormat="1" x14ac:dyDescent="0.25">
      <c r="Q186" s="195"/>
      <c r="R186" s="195"/>
      <c r="S186" s="195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</row>
    <row r="187" spans="17:45" s="54" customFormat="1" x14ac:dyDescent="0.25">
      <c r="Q187" s="195"/>
      <c r="R187" s="195"/>
      <c r="S187" s="195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</row>
    <row r="188" spans="17:45" s="54" customFormat="1" x14ac:dyDescent="0.25">
      <c r="Q188" s="195"/>
      <c r="R188" s="195"/>
      <c r="S188" s="195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</row>
    <row r="189" spans="17:45" s="54" customFormat="1" x14ac:dyDescent="0.25">
      <c r="Q189" s="195"/>
      <c r="R189" s="195"/>
      <c r="S189" s="195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</row>
    <row r="190" spans="17:45" s="54" customFormat="1" x14ac:dyDescent="0.25">
      <c r="Q190" s="195"/>
      <c r="R190" s="195"/>
      <c r="S190" s="195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</row>
    <row r="191" spans="17:45" s="54" customFormat="1" x14ac:dyDescent="0.25">
      <c r="Q191" s="195"/>
      <c r="R191" s="195"/>
      <c r="S191" s="195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</row>
    <row r="192" spans="17:45" s="54" customFormat="1" x14ac:dyDescent="0.25">
      <c r="Q192" s="195"/>
      <c r="R192" s="195"/>
      <c r="S192" s="195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</row>
    <row r="193" spans="17:45" s="54" customFormat="1" x14ac:dyDescent="0.25">
      <c r="Q193" s="195"/>
      <c r="R193" s="195"/>
      <c r="S193" s="195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</row>
    <row r="194" spans="17:45" s="54" customFormat="1" x14ac:dyDescent="0.25">
      <c r="Q194" s="195"/>
      <c r="R194" s="195"/>
      <c r="S194" s="195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</row>
    <row r="195" spans="17:45" s="54" customFormat="1" x14ac:dyDescent="0.25">
      <c r="Q195" s="195"/>
      <c r="R195" s="195"/>
      <c r="S195" s="195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</row>
    <row r="196" spans="17:45" s="54" customFormat="1" x14ac:dyDescent="0.25">
      <c r="Q196" s="195"/>
      <c r="R196" s="195"/>
      <c r="S196" s="195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</row>
    <row r="197" spans="17:45" s="54" customFormat="1" x14ac:dyDescent="0.25">
      <c r="Q197" s="195"/>
      <c r="R197" s="195"/>
      <c r="S197" s="195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</row>
    <row r="198" spans="17:45" s="54" customFormat="1" x14ac:dyDescent="0.25">
      <c r="Q198" s="195"/>
      <c r="R198" s="195"/>
      <c r="S198" s="195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</row>
    <row r="199" spans="17:45" s="54" customFormat="1" x14ac:dyDescent="0.25">
      <c r="Q199" s="195"/>
      <c r="R199" s="195"/>
      <c r="S199" s="195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</row>
    <row r="200" spans="17:45" s="54" customFormat="1" x14ac:dyDescent="0.25">
      <c r="Q200" s="195"/>
      <c r="R200" s="195"/>
      <c r="S200" s="195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</row>
    <row r="201" spans="17:45" s="54" customFormat="1" x14ac:dyDescent="0.25">
      <c r="Q201" s="195"/>
      <c r="R201" s="195"/>
      <c r="S201" s="195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</row>
    <row r="202" spans="17:45" s="54" customFormat="1" x14ac:dyDescent="0.25">
      <c r="Q202" s="195"/>
      <c r="R202" s="195"/>
      <c r="S202" s="195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</row>
    <row r="203" spans="17:45" s="54" customFormat="1" x14ac:dyDescent="0.25">
      <c r="Q203" s="195"/>
      <c r="R203" s="195"/>
      <c r="S203" s="195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</row>
    <row r="204" spans="17:45" s="54" customFormat="1" x14ac:dyDescent="0.25">
      <c r="Q204" s="195"/>
      <c r="R204" s="195"/>
      <c r="S204" s="195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</row>
    <row r="205" spans="17:45" s="54" customFormat="1" x14ac:dyDescent="0.25">
      <c r="Q205" s="195"/>
      <c r="R205" s="195"/>
      <c r="S205" s="195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</row>
    <row r="206" spans="17:45" s="54" customFormat="1" x14ac:dyDescent="0.25">
      <c r="Q206" s="195"/>
      <c r="R206" s="195"/>
      <c r="S206" s="195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</row>
    <row r="207" spans="17:45" s="54" customFormat="1" x14ac:dyDescent="0.25">
      <c r="Q207" s="195"/>
      <c r="R207" s="195"/>
      <c r="S207" s="195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</row>
    <row r="208" spans="17:45" s="54" customFormat="1" x14ac:dyDescent="0.25">
      <c r="Q208" s="195"/>
      <c r="R208" s="195"/>
      <c r="S208" s="195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</row>
    <row r="209" spans="17:45" s="54" customFormat="1" x14ac:dyDescent="0.25">
      <c r="Q209" s="195"/>
      <c r="R209" s="195"/>
      <c r="S209" s="195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</row>
    <row r="210" spans="17:45" s="54" customFormat="1" x14ac:dyDescent="0.25">
      <c r="Q210" s="195"/>
      <c r="R210" s="195"/>
      <c r="S210" s="195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</row>
    <row r="211" spans="17:45" s="54" customFormat="1" x14ac:dyDescent="0.25">
      <c r="Q211" s="195"/>
      <c r="R211" s="195"/>
      <c r="S211" s="195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</row>
    <row r="212" spans="17:45" s="54" customFormat="1" x14ac:dyDescent="0.25">
      <c r="Q212" s="195"/>
      <c r="R212" s="195"/>
      <c r="S212" s="195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</row>
    <row r="213" spans="17:45" s="54" customFormat="1" x14ac:dyDescent="0.25">
      <c r="Q213" s="195"/>
      <c r="R213" s="195"/>
      <c r="S213" s="195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</row>
    <row r="214" spans="17:45" s="54" customFormat="1" x14ac:dyDescent="0.25">
      <c r="Q214" s="195"/>
      <c r="R214" s="195"/>
      <c r="S214" s="195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</row>
    <row r="215" spans="17:45" s="54" customFormat="1" x14ac:dyDescent="0.25">
      <c r="Q215" s="195"/>
      <c r="R215" s="195"/>
      <c r="S215" s="195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</row>
    <row r="216" spans="17:45" s="54" customFormat="1" x14ac:dyDescent="0.25">
      <c r="Q216" s="195"/>
      <c r="R216" s="195"/>
      <c r="S216" s="195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</row>
    <row r="217" spans="17:45" s="54" customFormat="1" x14ac:dyDescent="0.25">
      <c r="Q217" s="195"/>
      <c r="R217" s="195"/>
      <c r="S217" s="195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</row>
    <row r="218" spans="17:45" s="54" customFormat="1" x14ac:dyDescent="0.25">
      <c r="Q218" s="195"/>
      <c r="R218" s="195"/>
      <c r="S218" s="195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</row>
    <row r="219" spans="17:45" s="54" customFormat="1" x14ac:dyDescent="0.25">
      <c r="Q219" s="195"/>
      <c r="R219" s="195"/>
      <c r="S219" s="195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</row>
    <row r="220" spans="17:45" s="54" customFormat="1" x14ac:dyDescent="0.25">
      <c r="Q220" s="195"/>
      <c r="R220" s="195"/>
      <c r="S220" s="195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</row>
    <row r="221" spans="17:45" s="54" customFormat="1" x14ac:dyDescent="0.25">
      <c r="Q221" s="195"/>
      <c r="R221" s="195"/>
      <c r="S221" s="195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</row>
    <row r="222" spans="17:45" s="54" customFormat="1" x14ac:dyDescent="0.25">
      <c r="Q222" s="195"/>
      <c r="R222" s="195"/>
      <c r="S222" s="195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</row>
    <row r="223" spans="17:45" s="54" customFormat="1" x14ac:dyDescent="0.25">
      <c r="Q223" s="195"/>
      <c r="R223" s="195"/>
      <c r="S223" s="195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</row>
    <row r="224" spans="17:45" s="54" customFormat="1" x14ac:dyDescent="0.25">
      <c r="Q224" s="195"/>
      <c r="R224" s="195"/>
      <c r="S224" s="195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</row>
    <row r="225" spans="17:45" s="54" customFormat="1" x14ac:dyDescent="0.25">
      <c r="Q225" s="195"/>
      <c r="R225" s="195"/>
      <c r="S225" s="195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</row>
    <row r="226" spans="17:45" s="54" customFormat="1" x14ac:dyDescent="0.25">
      <c r="Q226" s="195"/>
      <c r="R226" s="195"/>
      <c r="S226" s="195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</row>
    <row r="227" spans="17:45" s="54" customFormat="1" x14ac:dyDescent="0.25">
      <c r="Q227" s="195"/>
      <c r="R227" s="195"/>
      <c r="S227" s="195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</row>
    <row r="228" spans="17:45" s="54" customFormat="1" x14ac:dyDescent="0.25">
      <c r="Q228" s="195"/>
      <c r="R228" s="195"/>
      <c r="S228" s="195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</row>
    <row r="229" spans="17:45" s="54" customFormat="1" x14ac:dyDescent="0.25">
      <c r="Q229" s="195"/>
      <c r="R229" s="195"/>
      <c r="S229" s="195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</row>
    <row r="230" spans="17:45" s="54" customFormat="1" x14ac:dyDescent="0.25">
      <c r="Q230" s="195"/>
      <c r="R230" s="195"/>
      <c r="S230" s="195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</row>
    <row r="231" spans="17:45" s="54" customFormat="1" x14ac:dyDescent="0.25">
      <c r="Q231" s="195"/>
      <c r="R231" s="195"/>
      <c r="S231" s="195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</row>
    <row r="232" spans="17:45" s="54" customFormat="1" x14ac:dyDescent="0.25">
      <c r="Q232" s="195"/>
      <c r="R232" s="195"/>
      <c r="S232" s="195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</row>
    <row r="233" spans="17:45" s="54" customFormat="1" x14ac:dyDescent="0.25">
      <c r="Q233" s="195"/>
      <c r="R233" s="195"/>
      <c r="S233" s="195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</row>
    <row r="234" spans="17:45" s="54" customFormat="1" x14ac:dyDescent="0.25">
      <c r="Q234" s="195"/>
      <c r="R234" s="195"/>
      <c r="S234" s="195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</row>
    <row r="235" spans="17:45" s="54" customFormat="1" x14ac:dyDescent="0.25">
      <c r="Q235" s="195"/>
      <c r="R235" s="195"/>
      <c r="S235" s="195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</row>
    <row r="236" spans="17:45" s="54" customFormat="1" x14ac:dyDescent="0.25">
      <c r="Q236" s="195"/>
      <c r="R236" s="195"/>
      <c r="S236" s="195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</row>
    <row r="237" spans="17:45" s="54" customFormat="1" x14ac:dyDescent="0.25">
      <c r="Q237" s="195"/>
      <c r="R237" s="195"/>
      <c r="S237" s="195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</row>
    <row r="238" spans="17:45" s="54" customFormat="1" x14ac:dyDescent="0.25">
      <c r="Q238" s="195"/>
      <c r="R238" s="195"/>
      <c r="S238" s="195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</row>
    <row r="239" spans="17:45" s="54" customFormat="1" x14ac:dyDescent="0.25">
      <c r="Q239" s="195"/>
      <c r="R239" s="195"/>
      <c r="S239" s="195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</row>
    <row r="240" spans="17:45" s="54" customFormat="1" x14ac:dyDescent="0.25">
      <c r="Q240" s="195"/>
      <c r="R240" s="195"/>
      <c r="S240" s="195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</row>
    <row r="241" spans="17:45" s="54" customFormat="1" x14ac:dyDescent="0.25">
      <c r="Q241" s="195"/>
      <c r="R241" s="195"/>
      <c r="S241" s="195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</row>
    <row r="242" spans="17:45" s="54" customFormat="1" x14ac:dyDescent="0.25">
      <c r="Q242" s="195"/>
      <c r="R242" s="195"/>
      <c r="S242" s="195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</row>
    <row r="243" spans="17:45" s="54" customFormat="1" x14ac:dyDescent="0.25">
      <c r="Q243" s="195"/>
      <c r="R243" s="195"/>
      <c r="S243" s="195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</row>
    <row r="244" spans="17:45" s="54" customFormat="1" x14ac:dyDescent="0.25">
      <c r="Q244" s="195"/>
      <c r="R244" s="195"/>
      <c r="S244" s="195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</row>
    <row r="245" spans="17:45" s="54" customFormat="1" x14ac:dyDescent="0.25">
      <c r="Q245" s="195"/>
      <c r="R245" s="195"/>
      <c r="S245" s="195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</row>
    <row r="246" spans="17:45" s="54" customFormat="1" x14ac:dyDescent="0.25">
      <c r="Q246" s="195"/>
      <c r="R246" s="195"/>
      <c r="S246" s="195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</row>
    <row r="247" spans="17:45" s="54" customFormat="1" x14ac:dyDescent="0.25">
      <c r="Q247" s="195"/>
      <c r="R247" s="195"/>
      <c r="S247" s="195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</row>
    <row r="248" spans="17:45" s="54" customFormat="1" x14ac:dyDescent="0.25">
      <c r="Q248" s="195"/>
      <c r="R248" s="195"/>
      <c r="S248" s="195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</row>
    <row r="249" spans="17:45" s="54" customFormat="1" x14ac:dyDescent="0.25">
      <c r="Q249" s="195"/>
      <c r="R249" s="195"/>
      <c r="S249" s="195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</row>
    <row r="250" spans="17:45" s="54" customFormat="1" x14ac:dyDescent="0.25">
      <c r="Q250" s="195"/>
      <c r="R250" s="195"/>
      <c r="S250" s="195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</row>
    <row r="251" spans="17:45" s="54" customFormat="1" x14ac:dyDescent="0.25">
      <c r="Q251" s="195"/>
      <c r="R251" s="195"/>
      <c r="S251" s="195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</row>
    <row r="252" spans="17:45" s="54" customFormat="1" x14ac:dyDescent="0.25">
      <c r="Q252" s="195"/>
      <c r="R252" s="195"/>
      <c r="S252" s="195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</row>
    <row r="253" spans="17:45" s="54" customFormat="1" x14ac:dyDescent="0.25">
      <c r="Q253" s="195"/>
      <c r="R253" s="195"/>
      <c r="S253" s="195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</row>
    <row r="254" spans="17:45" s="54" customFormat="1" x14ac:dyDescent="0.25">
      <c r="Q254" s="195"/>
      <c r="R254" s="195"/>
      <c r="S254" s="195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</row>
    <row r="255" spans="17:45" s="54" customFormat="1" x14ac:dyDescent="0.25">
      <c r="Q255" s="195"/>
      <c r="R255" s="195"/>
      <c r="S255" s="195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</row>
    <row r="256" spans="17:45" s="54" customFormat="1" x14ac:dyDescent="0.25">
      <c r="Q256" s="195"/>
      <c r="R256" s="195"/>
      <c r="S256" s="195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</row>
    <row r="257" spans="17:45" s="54" customFormat="1" x14ac:dyDescent="0.25">
      <c r="Q257" s="195"/>
      <c r="R257" s="195"/>
      <c r="S257" s="195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</row>
    <row r="258" spans="17:45" s="54" customFormat="1" x14ac:dyDescent="0.25">
      <c r="Q258" s="195"/>
      <c r="R258" s="195"/>
      <c r="S258" s="195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</row>
    <row r="259" spans="17:45" s="54" customFormat="1" x14ac:dyDescent="0.25">
      <c r="Q259" s="195"/>
      <c r="R259" s="195"/>
      <c r="S259" s="195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</row>
    <row r="260" spans="17:45" s="54" customFormat="1" x14ac:dyDescent="0.25">
      <c r="Q260" s="195"/>
      <c r="R260" s="195"/>
      <c r="S260" s="195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</row>
    <row r="261" spans="17:45" s="54" customFormat="1" x14ac:dyDescent="0.25">
      <c r="Q261" s="195"/>
      <c r="R261" s="195"/>
      <c r="S261" s="195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</row>
    <row r="262" spans="17:45" s="54" customFormat="1" x14ac:dyDescent="0.25">
      <c r="Q262" s="195"/>
      <c r="R262" s="195"/>
      <c r="S262" s="195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</row>
    <row r="263" spans="17:45" s="54" customFormat="1" x14ac:dyDescent="0.25">
      <c r="Q263" s="195"/>
      <c r="R263" s="195"/>
      <c r="S263" s="195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</row>
    <row r="264" spans="17:45" s="54" customFormat="1" x14ac:dyDescent="0.25">
      <c r="Q264" s="195"/>
      <c r="R264" s="195"/>
      <c r="S264" s="195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</row>
    <row r="265" spans="17:45" s="54" customFormat="1" x14ac:dyDescent="0.25">
      <c r="Q265" s="195"/>
      <c r="R265" s="195"/>
      <c r="S265" s="195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</row>
    <row r="266" spans="17:45" s="54" customFormat="1" x14ac:dyDescent="0.25">
      <c r="Q266" s="195"/>
      <c r="R266" s="195"/>
      <c r="S266" s="195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</row>
    <row r="267" spans="17:45" s="54" customFormat="1" x14ac:dyDescent="0.25">
      <c r="Q267" s="195"/>
      <c r="R267" s="195"/>
      <c r="S267" s="195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</row>
    <row r="268" spans="17:45" s="54" customFormat="1" x14ac:dyDescent="0.25">
      <c r="Q268" s="195"/>
      <c r="R268" s="195"/>
      <c r="S268" s="195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</row>
    <row r="269" spans="17:45" s="54" customFormat="1" x14ac:dyDescent="0.25">
      <c r="Q269" s="195"/>
      <c r="R269" s="195"/>
      <c r="S269" s="195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</row>
    <row r="270" spans="17:45" s="54" customFormat="1" x14ac:dyDescent="0.25">
      <c r="Q270" s="195"/>
      <c r="R270" s="195"/>
      <c r="S270" s="195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</row>
    <row r="271" spans="17:45" s="54" customFormat="1" x14ac:dyDescent="0.25">
      <c r="Q271" s="195"/>
      <c r="R271" s="195"/>
      <c r="S271" s="195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</row>
    <row r="272" spans="17:45" s="54" customFormat="1" x14ac:dyDescent="0.25">
      <c r="Q272" s="195"/>
      <c r="R272" s="195"/>
      <c r="S272" s="195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</row>
    <row r="273" spans="17:45" s="54" customFormat="1" x14ac:dyDescent="0.25">
      <c r="Q273" s="195"/>
      <c r="R273" s="195"/>
      <c r="S273" s="195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</row>
    <row r="274" spans="17:45" s="54" customFormat="1" x14ac:dyDescent="0.25">
      <c r="Q274" s="195"/>
      <c r="R274" s="195"/>
      <c r="S274" s="195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</row>
    <row r="275" spans="17:45" s="54" customFormat="1" x14ac:dyDescent="0.25">
      <c r="Q275" s="195"/>
      <c r="R275" s="195"/>
      <c r="S275" s="195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</row>
    <row r="276" spans="17:45" s="54" customFormat="1" x14ac:dyDescent="0.25">
      <c r="Q276" s="195"/>
      <c r="R276" s="195"/>
      <c r="S276" s="195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</row>
    <row r="277" spans="17:45" s="54" customFormat="1" x14ac:dyDescent="0.25">
      <c r="Q277" s="195"/>
      <c r="R277" s="195"/>
      <c r="S277" s="195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</row>
    <row r="278" spans="17:45" s="54" customFormat="1" x14ac:dyDescent="0.25">
      <c r="Q278" s="195"/>
      <c r="R278" s="195"/>
      <c r="S278" s="195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</row>
    <row r="279" spans="17:45" s="54" customFormat="1" x14ac:dyDescent="0.25">
      <c r="Q279" s="195"/>
      <c r="R279" s="195"/>
      <c r="S279" s="195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</row>
    <row r="280" spans="17:45" s="54" customFormat="1" x14ac:dyDescent="0.25">
      <c r="Q280" s="195"/>
      <c r="R280" s="195"/>
      <c r="S280" s="195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</row>
    <row r="281" spans="17:45" s="54" customFormat="1" x14ac:dyDescent="0.25">
      <c r="Q281" s="195"/>
      <c r="R281" s="195"/>
      <c r="S281" s="195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</row>
    <row r="282" spans="17:45" s="54" customFormat="1" x14ac:dyDescent="0.25">
      <c r="Q282" s="195"/>
      <c r="R282" s="195"/>
      <c r="S282" s="195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</row>
    <row r="283" spans="17:45" s="54" customFormat="1" x14ac:dyDescent="0.25">
      <c r="Q283" s="195"/>
      <c r="R283" s="195"/>
      <c r="S283" s="195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</row>
    <row r="284" spans="17:45" s="54" customFormat="1" x14ac:dyDescent="0.25">
      <c r="Q284" s="195"/>
      <c r="R284" s="195"/>
      <c r="S284" s="195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</row>
    <row r="285" spans="17:45" s="54" customFormat="1" x14ac:dyDescent="0.25">
      <c r="Q285" s="195"/>
      <c r="R285" s="195"/>
      <c r="S285" s="195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</row>
    <row r="286" spans="17:45" s="54" customFormat="1" x14ac:dyDescent="0.25">
      <c r="Q286" s="195"/>
      <c r="R286" s="195"/>
      <c r="S286" s="195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</row>
    <row r="287" spans="17:45" s="54" customFormat="1" x14ac:dyDescent="0.25">
      <c r="Q287" s="195"/>
      <c r="R287" s="195"/>
      <c r="S287" s="195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</row>
    <row r="288" spans="17:45" s="54" customFormat="1" x14ac:dyDescent="0.25">
      <c r="Q288" s="195"/>
      <c r="R288" s="195"/>
      <c r="S288" s="195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</row>
    <row r="289" spans="17:45" s="54" customFormat="1" x14ac:dyDescent="0.25">
      <c r="Q289" s="195"/>
      <c r="R289" s="195"/>
      <c r="S289" s="195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</row>
    <row r="290" spans="17:45" s="54" customFormat="1" x14ac:dyDescent="0.25">
      <c r="Q290" s="195"/>
      <c r="R290" s="195"/>
      <c r="S290" s="195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</row>
    <row r="291" spans="17:45" s="54" customFormat="1" x14ac:dyDescent="0.25">
      <c r="Q291" s="195"/>
      <c r="R291" s="195"/>
      <c r="S291" s="195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</row>
    <row r="292" spans="17:45" s="54" customFormat="1" x14ac:dyDescent="0.25">
      <c r="Q292" s="195"/>
      <c r="R292" s="195"/>
      <c r="S292" s="195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</row>
    <row r="293" spans="17:45" s="54" customFormat="1" x14ac:dyDescent="0.25">
      <c r="Q293" s="195"/>
      <c r="R293" s="195"/>
      <c r="S293" s="195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</row>
    <row r="294" spans="17:45" s="54" customFormat="1" x14ac:dyDescent="0.25">
      <c r="Q294" s="195"/>
      <c r="R294" s="195"/>
      <c r="S294" s="195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</row>
    <row r="295" spans="17:45" s="54" customFormat="1" x14ac:dyDescent="0.25">
      <c r="Q295" s="195"/>
      <c r="R295" s="195"/>
      <c r="S295" s="195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</row>
    <row r="296" spans="17:45" s="54" customFormat="1" x14ac:dyDescent="0.25">
      <c r="Q296" s="195"/>
      <c r="R296" s="195"/>
      <c r="S296" s="195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</row>
    <row r="297" spans="17:45" s="54" customFormat="1" x14ac:dyDescent="0.25">
      <c r="Q297" s="195"/>
      <c r="R297" s="195"/>
      <c r="S297" s="195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</row>
    <row r="298" spans="17:45" s="54" customFormat="1" x14ac:dyDescent="0.25">
      <c r="Q298" s="195"/>
      <c r="R298" s="195"/>
      <c r="S298" s="195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</row>
    <row r="299" spans="17:45" s="54" customFormat="1" x14ac:dyDescent="0.25">
      <c r="Q299" s="195"/>
      <c r="R299" s="195"/>
      <c r="S299" s="195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</row>
    <row r="300" spans="17:45" s="54" customFormat="1" x14ac:dyDescent="0.25">
      <c r="Q300" s="195"/>
      <c r="R300" s="195"/>
      <c r="S300" s="195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</row>
    <row r="301" spans="17:45" s="54" customFormat="1" x14ac:dyDescent="0.25">
      <c r="Q301" s="195"/>
      <c r="R301" s="195"/>
      <c r="S301" s="195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</row>
    <row r="302" spans="17:45" s="54" customFormat="1" x14ac:dyDescent="0.25">
      <c r="Q302" s="195"/>
      <c r="R302" s="195"/>
      <c r="S302" s="195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</row>
    <row r="303" spans="17:45" s="54" customFormat="1" x14ac:dyDescent="0.25">
      <c r="Q303" s="195"/>
      <c r="R303" s="195"/>
      <c r="S303" s="195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</row>
    <row r="304" spans="17:45" s="54" customFormat="1" x14ac:dyDescent="0.25">
      <c r="Q304" s="195"/>
      <c r="R304" s="195"/>
      <c r="S304" s="195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</row>
    <row r="305" spans="17:45" s="54" customFormat="1" x14ac:dyDescent="0.25">
      <c r="Q305" s="195"/>
      <c r="R305" s="195"/>
      <c r="S305" s="195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</row>
    <row r="306" spans="17:45" s="54" customFormat="1" x14ac:dyDescent="0.25">
      <c r="Q306" s="195"/>
      <c r="R306" s="195"/>
      <c r="S306" s="195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</row>
    <row r="307" spans="17:45" s="54" customFormat="1" x14ac:dyDescent="0.25">
      <c r="Q307" s="195"/>
      <c r="R307" s="195"/>
      <c r="S307" s="195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</row>
    <row r="308" spans="17:45" s="54" customFormat="1" x14ac:dyDescent="0.25">
      <c r="Q308" s="195"/>
      <c r="R308" s="195"/>
      <c r="S308" s="195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</row>
    <row r="309" spans="17:45" s="54" customFormat="1" x14ac:dyDescent="0.25">
      <c r="Q309" s="195"/>
      <c r="R309" s="195"/>
      <c r="S309" s="195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</row>
    <row r="310" spans="17:45" s="54" customFormat="1" x14ac:dyDescent="0.25">
      <c r="Q310" s="195"/>
      <c r="R310" s="195"/>
      <c r="S310" s="195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</row>
    <row r="311" spans="17:45" s="54" customFormat="1" x14ac:dyDescent="0.25">
      <c r="Q311" s="195"/>
      <c r="R311" s="195"/>
      <c r="S311" s="195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</row>
    <row r="312" spans="17:45" s="54" customFormat="1" x14ac:dyDescent="0.25">
      <c r="Q312" s="195"/>
      <c r="R312" s="195"/>
      <c r="S312" s="195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</row>
    <row r="313" spans="17:45" s="54" customFormat="1" x14ac:dyDescent="0.25">
      <c r="Q313" s="195"/>
      <c r="R313" s="195"/>
      <c r="S313" s="195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</row>
    <row r="314" spans="17:45" s="54" customFormat="1" x14ac:dyDescent="0.25">
      <c r="Q314" s="195"/>
      <c r="R314" s="195"/>
      <c r="S314" s="195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</row>
    <row r="315" spans="17:45" s="54" customFormat="1" x14ac:dyDescent="0.25">
      <c r="Q315" s="195"/>
      <c r="R315" s="195"/>
      <c r="S315" s="195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</row>
    <row r="316" spans="17:45" s="54" customFormat="1" x14ac:dyDescent="0.25">
      <c r="Q316" s="195"/>
      <c r="R316" s="195"/>
      <c r="S316" s="195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</row>
    <row r="317" spans="17:45" s="54" customFormat="1" x14ac:dyDescent="0.25">
      <c r="Q317" s="195"/>
      <c r="R317" s="195"/>
      <c r="S317" s="195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</row>
    <row r="318" spans="17:45" s="54" customFormat="1" x14ac:dyDescent="0.25">
      <c r="Q318" s="195"/>
      <c r="R318" s="195"/>
      <c r="S318" s="195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</row>
    <row r="319" spans="17:45" s="54" customFormat="1" x14ac:dyDescent="0.25">
      <c r="Q319" s="195"/>
      <c r="R319" s="195"/>
      <c r="S319" s="195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</row>
    <row r="320" spans="17:45" s="54" customFormat="1" x14ac:dyDescent="0.25">
      <c r="Q320" s="195"/>
      <c r="R320" s="195"/>
      <c r="S320" s="195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</row>
    <row r="321" spans="17:45" s="54" customFormat="1" x14ac:dyDescent="0.25">
      <c r="Q321" s="195"/>
      <c r="R321" s="195"/>
      <c r="S321" s="195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</row>
    <row r="322" spans="17:45" s="54" customFormat="1" x14ac:dyDescent="0.25">
      <c r="Q322" s="195"/>
      <c r="R322" s="195"/>
      <c r="S322" s="195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</row>
    <row r="323" spans="17:45" s="54" customFormat="1" x14ac:dyDescent="0.25">
      <c r="Q323" s="195"/>
      <c r="R323" s="195"/>
      <c r="S323" s="195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</row>
    <row r="324" spans="17:45" s="54" customFormat="1" x14ac:dyDescent="0.25">
      <c r="Q324" s="195"/>
      <c r="R324" s="195"/>
      <c r="S324" s="195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</row>
    <row r="325" spans="17:45" s="54" customFormat="1" x14ac:dyDescent="0.25">
      <c r="Q325" s="195"/>
      <c r="R325" s="195"/>
      <c r="S325" s="195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</row>
    <row r="326" spans="17:45" s="54" customFormat="1" x14ac:dyDescent="0.25">
      <c r="Q326" s="195"/>
      <c r="R326" s="195"/>
      <c r="S326" s="195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</row>
    <row r="327" spans="17:45" s="54" customFormat="1" x14ac:dyDescent="0.25">
      <c r="Q327" s="195"/>
      <c r="R327" s="195"/>
      <c r="S327" s="195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</row>
    <row r="328" spans="17:45" s="54" customFormat="1" x14ac:dyDescent="0.25">
      <c r="Q328" s="195"/>
      <c r="R328" s="195"/>
      <c r="S328" s="195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</row>
    <row r="329" spans="17:45" s="54" customFormat="1" x14ac:dyDescent="0.25">
      <c r="Q329" s="195"/>
      <c r="R329" s="195"/>
      <c r="S329" s="195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</row>
    <row r="330" spans="17:45" s="54" customFormat="1" x14ac:dyDescent="0.25">
      <c r="Q330" s="195"/>
      <c r="R330" s="195"/>
      <c r="S330" s="195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</row>
    <row r="331" spans="17:45" s="54" customFormat="1" x14ac:dyDescent="0.25">
      <c r="Q331" s="195"/>
      <c r="R331" s="195"/>
      <c r="S331" s="195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</row>
    <row r="332" spans="17:45" s="54" customFormat="1" x14ac:dyDescent="0.25">
      <c r="Q332" s="195"/>
      <c r="R332" s="195"/>
      <c r="S332" s="195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</row>
    <row r="333" spans="17:45" s="54" customFormat="1" x14ac:dyDescent="0.25">
      <c r="Q333" s="195"/>
      <c r="R333" s="195"/>
      <c r="S333" s="195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</row>
    <row r="334" spans="17:45" s="54" customFormat="1" x14ac:dyDescent="0.25">
      <c r="Q334" s="195"/>
      <c r="R334" s="195"/>
      <c r="S334" s="195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</row>
    <row r="335" spans="17:45" s="54" customFormat="1" x14ac:dyDescent="0.25">
      <c r="Q335" s="195"/>
      <c r="R335" s="195"/>
      <c r="S335" s="195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</row>
    <row r="336" spans="17:45" s="54" customFormat="1" x14ac:dyDescent="0.25">
      <c r="Q336" s="195"/>
      <c r="R336" s="195"/>
      <c r="S336" s="195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</row>
    <row r="337" spans="17:45" s="54" customFormat="1" x14ac:dyDescent="0.25">
      <c r="Q337" s="195"/>
      <c r="R337" s="195"/>
      <c r="S337" s="195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</row>
    <row r="338" spans="17:45" s="54" customFormat="1" x14ac:dyDescent="0.25">
      <c r="Q338" s="195"/>
      <c r="R338" s="195"/>
      <c r="S338" s="195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</row>
    <row r="339" spans="17:45" s="54" customFormat="1" x14ac:dyDescent="0.25">
      <c r="Q339" s="195"/>
      <c r="R339" s="195"/>
      <c r="S339" s="195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</row>
    <row r="340" spans="17:45" s="54" customFormat="1" x14ac:dyDescent="0.25">
      <c r="Q340" s="195"/>
      <c r="R340" s="195"/>
      <c r="S340" s="195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</row>
    <row r="341" spans="17:45" s="54" customFormat="1" x14ac:dyDescent="0.25">
      <c r="Q341" s="195"/>
      <c r="R341" s="195"/>
      <c r="S341" s="195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</row>
    <row r="342" spans="17:45" s="54" customFormat="1" x14ac:dyDescent="0.25">
      <c r="Q342" s="195"/>
      <c r="R342" s="195"/>
      <c r="S342" s="195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</row>
    <row r="343" spans="17:45" s="54" customFormat="1" x14ac:dyDescent="0.25">
      <c r="Q343" s="195"/>
      <c r="R343" s="195"/>
      <c r="S343" s="195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</row>
    <row r="344" spans="17:45" s="54" customFormat="1" x14ac:dyDescent="0.25">
      <c r="Q344" s="195"/>
      <c r="R344" s="195"/>
      <c r="S344" s="195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</row>
    <row r="345" spans="17:45" s="54" customFormat="1" x14ac:dyDescent="0.25">
      <c r="Q345" s="195"/>
      <c r="R345" s="195"/>
      <c r="S345" s="195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</row>
    <row r="346" spans="17:45" s="54" customFormat="1" x14ac:dyDescent="0.25">
      <c r="Q346" s="195"/>
      <c r="R346" s="195"/>
      <c r="S346" s="195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</row>
    <row r="347" spans="17:45" s="54" customFormat="1" x14ac:dyDescent="0.25">
      <c r="Q347" s="195"/>
      <c r="R347" s="195"/>
      <c r="S347" s="195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</row>
    <row r="348" spans="17:45" s="54" customFormat="1" x14ac:dyDescent="0.25">
      <c r="Q348" s="195"/>
      <c r="R348" s="195"/>
      <c r="S348" s="195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</row>
    <row r="349" spans="17:45" s="54" customFormat="1" x14ac:dyDescent="0.25">
      <c r="Q349" s="195"/>
      <c r="R349" s="195"/>
      <c r="S349" s="195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</row>
    <row r="350" spans="17:45" s="54" customFormat="1" x14ac:dyDescent="0.25">
      <c r="Q350" s="195"/>
      <c r="R350" s="195"/>
      <c r="S350" s="195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</row>
    <row r="351" spans="17:45" s="54" customFormat="1" x14ac:dyDescent="0.25">
      <c r="Q351" s="195"/>
      <c r="R351" s="195"/>
      <c r="S351" s="195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</row>
    <row r="352" spans="17:45" s="54" customFormat="1" x14ac:dyDescent="0.25">
      <c r="Q352" s="195"/>
      <c r="R352" s="195"/>
      <c r="S352" s="195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</row>
    <row r="353" spans="17:45" s="54" customFormat="1" x14ac:dyDescent="0.25">
      <c r="Q353" s="195"/>
      <c r="R353" s="195"/>
      <c r="S353" s="195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</row>
    <row r="354" spans="17:45" s="54" customFormat="1" x14ac:dyDescent="0.25">
      <c r="Q354" s="195"/>
      <c r="R354" s="195"/>
      <c r="S354" s="195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</row>
    <row r="355" spans="17:45" s="54" customFormat="1" x14ac:dyDescent="0.25">
      <c r="Q355" s="195"/>
      <c r="R355" s="195"/>
      <c r="S355" s="195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</row>
    <row r="356" spans="17:45" s="54" customFormat="1" x14ac:dyDescent="0.25">
      <c r="Q356" s="195"/>
      <c r="R356" s="195"/>
      <c r="S356" s="195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</row>
    <row r="357" spans="17:45" s="54" customFormat="1" x14ac:dyDescent="0.25">
      <c r="Q357" s="195"/>
      <c r="R357" s="195"/>
      <c r="S357" s="195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</row>
    <row r="358" spans="17:45" s="54" customFormat="1" x14ac:dyDescent="0.25">
      <c r="Q358" s="195"/>
      <c r="R358" s="195"/>
      <c r="S358" s="195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</row>
    <row r="359" spans="17:45" s="54" customFormat="1" x14ac:dyDescent="0.25">
      <c r="Q359" s="195"/>
      <c r="R359" s="195"/>
      <c r="S359" s="195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</row>
    <row r="360" spans="17:45" s="54" customFormat="1" x14ac:dyDescent="0.25">
      <c r="Q360" s="195"/>
      <c r="R360" s="195"/>
      <c r="S360" s="195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</row>
    <row r="361" spans="17:45" s="54" customFormat="1" x14ac:dyDescent="0.25">
      <c r="Q361" s="195"/>
      <c r="R361" s="195"/>
      <c r="S361" s="195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</row>
    <row r="362" spans="17:45" s="54" customFormat="1" x14ac:dyDescent="0.25">
      <c r="Q362" s="195"/>
      <c r="R362" s="195"/>
      <c r="S362" s="195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</row>
    <row r="363" spans="17:45" s="54" customFormat="1" x14ac:dyDescent="0.25">
      <c r="Q363" s="195"/>
      <c r="R363" s="195"/>
      <c r="S363" s="195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</row>
    <row r="364" spans="17:45" s="54" customFormat="1" x14ac:dyDescent="0.25">
      <c r="Q364" s="195"/>
      <c r="R364" s="195"/>
      <c r="S364" s="195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</row>
    <row r="365" spans="17:45" s="54" customFormat="1" x14ac:dyDescent="0.25">
      <c r="Q365" s="195"/>
      <c r="R365" s="195"/>
      <c r="S365" s="195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</row>
    <row r="366" spans="17:45" s="54" customFormat="1" x14ac:dyDescent="0.25">
      <c r="Q366" s="195"/>
      <c r="R366" s="195"/>
      <c r="S366" s="195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</row>
    <row r="367" spans="17:45" s="54" customFormat="1" x14ac:dyDescent="0.25">
      <c r="Q367" s="195"/>
      <c r="R367" s="195"/>
      <c r="S367" s="195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</row>
    <row r="368" spans="17:45" s="54" customFormat="1" x14ac:dyDescent="0.25">
      <c r="Q368" s="195"/>
      <c r="R368" s="195"/>
      <c r="S368" s="195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</row>
    <row r="369" spans="17:45" s="54" customFormat="1" x14ac:dyDescent="0.25">
      <c r="Q369" s="195"/>
      <c r="R369" s="195"/>
      <c r="S369" s="195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</row>
    <row r="370" spans="17:45" s="54" customFormat="1" x14ac:dyDescent="0.25">
      <c r="Q370" s="195"/>
      <c r="R370" s="195"/>
      <c r="S370" s="195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</row>
    <row r="371" spans="17:45" s="54" customFormat="1" x14ac:dyDescent="0.25">
      <c r="Q371" s="195"/>
      <c r="R371" s="195"/>
      <c r="S371" s="195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</row>
    <row r="372" spans="17:45" s="54" customFormat="1" x14ac:dyDescent="0.25">
      <c r="Q372" s="195"/>
      <c r="R372" s="195"/>
      <c r="S372" s="195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</row>
    <row r="373" spans="17:45" s="54" customFormat="1" x14ac:dyDescent="0.25">
      <c r="Q373" s="195"/>
      <c r="R373" s="195"/>
      <c r="S373" s="195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</row>
    <row r="374" spans="17:45" s="54" customFormat="1" x14ac:dyDescent="0.25">
      <c r="Q374" s="195"/>
      <c r="R374" s="195"/>
      <c r="S374" s="195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</row>
    <row r="375" spans="17:45" s="54" customFormat="1" x14ac:dyDescent="0.25">
      <c r="Q375" s="195"/>
      <c r="R375" s="195"/>
      <c r="S375" s="195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</row>
    <row r="376" spans="17:45" s="54" customFormat="1" x14ac:dyDescent="0.25">
      <c r="Q376" s="195"/>
      <c r="R376" s="195"/>
      <c r="S376" s="195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</row>
    <row r="377" spans="17:45" s="54" customFormat="1" x14ac:dyDescent="0.25">
      <c r="Q377" s="195"/>
      <c r="R377" s="195"/>
      <c r="S377" s="195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</row>
    <row r="378" spans="17:45" s="54" customFormat="1" x14ac:dyDescent="0.25">
      <c r="Q378" s="195"/>
      <c r="R378" s="195"/>
      <c r="S378" s="195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</row>
    <row r="379" spans="17:45" s="54" customFormat="1" x14ac:dyDescent="0.25">
      <c r="Q379" s="195"/>
      <c r="R379" s="195"/>
      <c r="S379" s="195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</row>
    <row r="380" spans="17:45" s="54" customFormat="1" x14ac:dyDescent="0.25">
      <c r="Q380" s="195"/>
      <c r="R380" s="195"/>
      <c r="S380" s="195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</row>
    <row r="381" spans="17:45" s="54" customFormat="1" x14ac:dyDescent="0.25">
      <c r="Q381" s="195"/>
      <c r="R381" s="195"/>
      <c r="S381" s="195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</row>
    <row r="382" spans="17:45" s="54" customFormat="1" x14ac:dyDescent="0.25">
      <c r="Q382" s="195"/>
      <c r="R382" s="195"/>
      <c r="S382" s="195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</row>
    <row r="383" spans="17:45" s="54" customFormat="1" x14ac:dyDescent="0.25">
      <c r="Q383" s="195"/>
      <c r="R383" s="195"/>
      <c r="S383" s="195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</row>
    <row r="384" spans="17:45" s="54" customFormat="1" x14ac:dyDescent="0.25">
      <c r="Q384" s="195"/>
      <c r="R384" s="195"/>
      <c r="S384" s="195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</row>
    <row r="385" spans="17:45" s="54" customFormat="1" x14ac:dyDescent="0.25">
      <c r="Q385" s="195"/>
      <c r="R385" s="195"/>
      <c r="S385" s="195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</row>
    <row r="386" spans="17:45" s="54" customFormat="1" x14ac:dyDescent="0.25">
      <c r="Q386" s="195"/>
      <c r="R386" s="195"/>
      <c r="S386" s="195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</row>
    <row r="387" spans="17:45" s="54" customFormat="1" x14ac:dyDescent="0.25">
      <c r="Q387" s="195"/>
      <c r="R387" s="195"/>
      <c r="S387" s="195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</row>
    <row r="388" spans="17:45" s="54" customFormat="1" x14ac:dyDescent="0.25">
      <c r="Q388" s="195"/>
      <c r="R388" s="195"/>
      <c r="S388" s="195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</row>
    <row r="389" spans="17:45" s="54" customFormat="1" x14ac:dyDescent="0.25">
      <c r="Q389" s="195"/>
      <c r="R389" s="195"/>
      <c r="S389" s="195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</row>
    <row r="390" spans="17:45" s="54" customFormat="1" x14ac:dyDescent="0.25">
      <c r="Q390" s="195"/>
      <c r="R390" s="195"/>
      <c r="S390" s="195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</row>
    <row r="391" spans="17:45" s="54" customFormat="1" x14ac:dyDescent="0.25">
      <c r="Q391" s="195"/>
      <c r="R391" s="195"/>
      <c r="S391" s="195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</row>
    <row r="392" spans="17:45" s="54" customFormat="1" x14ac:dyDescent="0.25">
      <c r="Q392" s="195"/>
      <c r="R392" s="195"/>
      <c r="S392" s="195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</row>
    <row r="393" spans="17:45" s="54" customFormat="1" x14ac:dyDescent="0.25">
      <c r="Q393" s="195"/>
      <c r="R393" s="195"/>
      <c r="S393" s="195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</row>
    <row r="394" spans="17:45" s="54" customFormat="1" x14ac:dyDescent="0.25">
      <c r="Q394" s="195"/>
      <c r="R394" s="195"/>
      <c r="S394" s="195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</row>
    <row r="395" spans="17:45" s="54" customFormat="1" x14ac:dyDescent="0.25">
      <c r="Q395" s="195"/>
      <c r="R395" s="195"/>
      <c r="S395" s="195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</row>
    <row r="396" spans="17:45" s="54" customFormat="1" x14ac:dyDescent="0.25">
      <c r="Q396" s="195"/>
      <c r="R396" s="195"/>
      <c r="S396" s="195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</row>
    <row r="397" spans="17:45" s="54" customFormat="1" x14ac:dyDescent="0.25">
      <c r="Q397" s="195"/>
      <c r="R397" s="195"/>
      <c r="S397" s="195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</row>
    <row r="398" spans="17:45" s="54" customFormat="1" x14ac:dyDescent="0.25">
      <c r="Q398" s="195"/>
      <c r="R398" s="195"/>
      <c r="S398" s="195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</row>
    <row r="399" spans="17:45" s="54" customFormat="1" x14ac:dyDescent="0.25">
      <c r="Q399" s="195"/>
      <c r="R399" s="195"/>
      <c r="S399" s="195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</row>
    <row r="400" spans="17:45" s="54" customFormat="1" x14ac:dyDescent="0.25">
      <c r="Q400" s="195"/>
      <c r="R400" s="195"/>
      <c r="S400" s="195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</row>
    <row r="401" spans="17:45" s="54" customFormat="1" x14ac:dyDescent="0.25">
      <c r="Q401" s="195"/>
      <c r="R401" s="195"/>
      <c r="S401" s="195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</row>
    <row r="402" spans="17:45" s="54" customFormat="1" x14ac:dyDescent="0.25">
      <c r="Q402" s="195"/>
      <c r="R402" s="195"/>
      <c r="S402" s="195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</row>
    <row r="403" spans="17:45" s="54" customFormat="1" x14ac:dyDescent="0.25">
      <c r="Q403" s="195"/>
      <c r="R403" s="195"/>
      <c r="S403" s="195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</row>
    <row r="404" spans="17:45" s="54" customFormat="1" x14ac:dyDescent="0.25">
      <c r="Q404" s="195"/>
      <c r="R404" s="195"/>
      <c r="S404" s="195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</row>
    <row r="405" spans="17:45" s="54" customFormat="1" x14ac:dyDescent="0.25">
      <c r="Q405" s="195"/>
      <c r="R405" s="195"/>
      <c r="S405" s="195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</row>
    <row r="406" spans="17:45" s="54" customFormat="1" x14ac:dyDescent="0.25">
      <c r="Q406" s="195"/>
      <c r="R406" s="195"/>
      <c r="S406" s="195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</row>
    <row r="407" spans="17:45" s="54" customFormat="1" x14ac:dyDescent="0.25">
      <c r="Q407" s="195"/>
      <c r="R407" s="195"/>
      <c r="S407" s="195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</row>
    <row r="408" spans="17:45" s="54" customFormat="1" x14ac:dyDescent="0.25">
      <c r="Q408" s="195"/>
      <c r="R408" s="195"/>
      <c r="S408" s="195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</row>
    <row r="409" spans="17:45" s="54" customFormat="1" x14ac:dyDescent="0.25">
      <c r="Q409" s="195"/>
      <c r="R409" s="195"/>
      <c r="S409" s="195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</row>
    <row r="410" spans="17:45" s="54" customFormat="1" x14ac:dyDescent="0.25">
      <c r="Q410" s="195"/>
      <c r="R410" s="195"/>
      <c r="S410" s="195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</row>
    <row r="411" spans="17:45" s="54" customFormat="1" x14ac:dyDescent="0.25">
      <c r="Q411" s="195"/>
      <c r="R411" s="195"/>
      <c r="S411" s="195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</row>
    <row r="412" spans="17:45" s="54" customFormat="1" x14ac:dyDescent="0.25">
      <c r="Q412" s="195"/>
      <c r="R412" s="195"/>
      <c r="S412" s="195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</row>
    <row r="413" spans="17:45" s="54" customFormat="1" x14ac:dyDescent="0.25">
      <c r="Q413" s="195"/>
      <c r="R413" s="195"/>
      <c r="S413" s="195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</row>
    <row r="414" spans="17:45" s="54" customFormat="1" x14ac:dyDescent="0.25">
      <c r="Q414" s="195"/>
      <c r="R414" s="195"/>
      <c r="S414" s="195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</row>
    <row r="415" spans="17:45" s="54" customFormat="1" x14ac:dyDescent="0.25">
      <c r="Q415" s="195"/>
      <c r="R415" s="195"/>
      <c r="S415" s="195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</row>
    <row r="416" spans="17:45" s="54" customFormat="1" x14ac:dyDescent="0.25">
      <c r="Q416" s="195"/>
      <c r="R416" s="195"/>
      <c r="S416" s="195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</row>
    <row r="417" spans="17:45" s="54" customFormat="1" x14ac:dyDescent="0.25">
      <c r="Q417" s="195"/>
      <c r="R417" s="195"/>
      <c r="S417" s="195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</row>
    <row r="418" spans="17:45" s="54" customFormat="1" x14ac:dyDescent="0.25">
      <c r="Q418" s="195"/>
      <c r="R418" s="195"/>
      <c r="S418" s="195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</row>
    <row r="419" spans="17:45" s="54" customFormat="1" x14ac:dyDescent="0.25">
      <c r="Q419" s="195"/>
      <c r="R419" s="195"/>
      <c r="S419" s="195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</row>
    <row r="420" spans="17:45" s="54" customFormat="1" x14ac:dyDescent="0.25">
      <c r="Q420" s="195"/>
      <c r="R420" s="195"/>
      <c r="S420" s="195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</row>
    <row r="421" spans="17:45" s="54" customFormat="1" x14ac:dyDescent="0.25">
      <c r="Q421" s="195"/>
      <c r="R421" s="195"/>
      <c r="S421" s="195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</row>
    <row r="422" spans="17:45" s="54" customFormat="1" x14ac:dyDescent="0.25">
      <c r="Q422" s="195"/>
      <c r="R422" s="195"/>
      <c r="S422" s="195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</row>
    <row r="423" spans="17:45" s="54" customFormat="1" x14ac:dyDescent="0.25">
      <c r="Q423" s="195"/>
      <c r="R423" s="195"/>
      <c r="S423" s="195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</row>
    <row r="424" spans="17:45" s="54" customFormat="1" x14ac:dyDescent="0.25">
      <c r="Q424" s="195"/>
      <c r="R424" s="195"/>
      <c r="S424" s="195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</row>
    <row r="425" spans="17:45" s="54" customFormat="1" x14ac:dyDescent="0.25">
      <c r="Q425" s="195"/>
      <c r="R425" s="195"/>
      <c r="S425" s="195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</row>
    <row r="426" spans="17:45" s="54" customFormat="1" x14ac:dyDescent="0.25">
      <c r="Q426" s="195"/>
      <c r="R426" s="195"/>
      <c r="S426" s="195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</row>
    <row r="427" spans="17:45" s="54" customFormat="1" x14ac:dyDescent="0.25">
      <c r="Q427" s="195"/>
      <c r="R427" s="195"/>
      <c r="S427" s="195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</row>
    <row r="428" spans="17:45" s="54" customFormat="1" x14ac:dyDescent="0.25">
      <c r="Q428" s="195"/>
      <c r="R428" s="195"/>
      <c r="S428" s="195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</row>
    <row r="429" spans="17:45" s="54" customFormat="1" x14ac:dyDescent="0.25">
      <c r="Q429" s="195"/>
      <c r="R429" s="195"/>
      <c r="S429" s="195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</row>
    <row r="430" spans="17:45" s="54" customFormat="1" x14ac:dyDescent="0.25">
      <c r="Q430" s="195"/>
      <c r="R430" s="195"/>
      <c r="S430" s="195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</row>
    <row r="431" spans="17:45" s="54" customFormat="1" x14ac:dyDescent="0.25">
      <c r="Q431" s="195"/>
      <c r="R431" s="195"/>
      <c r="S431" s="195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</row>
    <row r="432" spans="17:45" s="54" customFormat="1" x14ac:dyDescent="0.25">
      <c r="Q432" s="195"/>
      <c r="R432" s="195"/>
      <c r="S432" s="195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</row>
  </sheetData>
  <autoFilter ref="A14:BN26" xr:uid="{5842F099-C5DA-4CF6-AEAF-D526D68B940A}"/>
  <mergeCells count="15">
    <mergeCell ref="L13:P13"/>
    <mergeCell ref="Q13:S13"/>
    <mergeCell ref="D29:H29"/>
    <mergeCell ref="L29:O29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phoneticPr fontId="36" type="noConversion"/>
  <conditionalFormatting sqref="C15:C25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7D89-A81A-4E0B-8AB4-9B70FCC0A9A4}">
  <sheetPr>
    <tabColor rgb="FF00B050"/>
    <pageSetUpPr fitToPage="1"/>
  </sheetPr>
  <dimension ref="A1:BQ574"/>
  <sheetViews>
    <sheetView showZeros="0" zoomScaleNormal="100" workbookViewId="0">
      <selection activeCell="F15" sqref="F15:P167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7" width="8.28515625" style="4" customWidth="1"/>
    <col min="8" max="15" width="10.7109375" style="4" customWidth="1"/>
    <col min="16" max="16" width="13.28515625" style="4" customWidth="1"/>
    <col min="17" max="19" width="5.7109375" style="195" customWidth="1" outlineLevel="1"/>
    <col min="20" max="22" width="10.7109375" style="90" customWidth="1" outlineLevel="1"/>
    <col min="23" max="45" width="10.7109375" style="90" customWidth="1"/>
    <col min="46" max="66" width="8.85546875" style="54"/>
    <col min="67" max="16384" width="8.85546875" style="4"/>
  </cols>
  <sheetData>
    <row r="1" spans="1:66" ht="15" x14ac:dyDescent="0.2">
      <c r="A1" s="408" t="s">
        <v>370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66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66" ht="15" x14ac:dyDescent="0.2">
      <c r="A3" s="409" t="str">
        <f>Kopsavilkums!C17</f>
        <v>Pamatu izbūve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4" spans="1:66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</row>
    <row r="5" spans="1:66" x14ac:dyDescent="0.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66" x14ac:dyDescent="0.2">
      <c r="A6" s="1" t="s">
        <v>64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66" x14ac:dyDescent="0.2">
      <c r="A7" s="1" t="s">
        <v>65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66" x14ac:dyDescent="0.2">
      <c r="A8" s="2" t="s">
        <v>66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66" x14ac:dyDescent="0.2">
      <c r="A9" s="1" t="s">
        <v>54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0</v>
      </c>
      <c r="P9" s="18">
        <f>P168</f>
        <v>0</v>
      </c>
    </row>
    <row r="10" spans="1:66" ht="4.9000000000000004" customHeight="1" x14ac:dyDescent="0.2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66" x14ac:dyDescent="0.2">
      <c r="A11" s="107" t="s">
        <v>67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 xml:space="preserve">Tāme sastādīta: </v>
      </c>
    </row>
    <row r="12" spans="1:66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66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</v>
      </c>
      <c r="E13" s="418" t="s">
        <v>5</v>
      </c>
      <c r="F13" s="412" t="s">
        <v>6</v>
      </c>
      <c r="G13" s="420" t="s">
        <v>19</v>
      </c>
      <c r="H13" s="404" t="s">
        <v>7</v>
      </c>
      <c r="I13" s="405"/>
      <c r="J13" s="405"/>
      <c r="K13" s="406"/>
      <c r="L13" s="405" t="s">
        <v>8</v>
      </c>
      <c r="M13" s="405"/>
      <c r="N13" s="405"/>
      <c r="O13" s="405"/>
      <c r="P13" s="406"/>
      <c r="Q13" s="403"/>
      <c r="R13" s="403"/>
      <c r="S13" s="403"/>
    </row>
    <row r="14" spans="1:66" ht="34.9" customHeight="1" thickBot="1" x14ac:dyDescent="0.25">
      <c r="A14" s="413"/>
      <c r="B14" s="415"/>
      <c r="C14" s="415"/>
      <c r="D14" s="417"/>
      <c r="E14" s="419"/>
      <c r="F14" s="413"/>
      <c r="G14" s="421"/>
      <c r="H14" s="56" t="s">
        <v>17</v>
      </c>
      <c r="I14" s="60" t="s">
        <v>16</v>
      </c>
      <c r="J14" s="57" t="s">
        <v>15</v>
      </c>
      <c r="K14" s="58" t="s">
        <v>18</v>
      </c>
      <c r="L14" s="58" t="s">
        <v>9</v>
      </c>
      <c r="M14" s="56" t="s">
        <v>17</v>
      </c>
      <c r="N14" s="60" t="s">
        <v>16</v>
      </c>
      <c r="O14" s="57" t="s">
        <v>15</v>
      </c>
      <c r="P14" s="59" t="s">
        <v>14</v>
      </c>
      <c r="Q14" s="196"/>
      <c r="R14" s="196"/>
      <c r="S14" s="196"/>
    </row>
    <row r="15" spans="1:66" s="224" customFormat="1" x14ac:dyDescent="0.2">
      <c r="A15" s="333"/>
      <c r="B15" s="138"/>
      <c r="C15" s="177" t="str">
        <f>A3</f>
        <v>Pamatu izbūve</v>
      </c>
      <c r="D15" s="139"/>
      <c r="E15" s="140"/>
      <c r="F15" s="119"/>
      <c r="G15" s="61"/>
      <c r="H15" s="26"/>
      <c r="I15" s="27"/>
      <c r="J15" s="27"/>
      <c r="K15" s="25"/>
      <c r="L15" s="25"/>
      <c r="M15" s="26"/>
      <c r="N15" s="27"/>
      <c r="O15" s="28"/>
      <c r="P15" s="29"/>
      <c r="Q15" s="195"/>
      <c r="R15" s="195"/>
      <c r="S15" s="195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23"/>
      <c r="AU15" s="223"/>
      <c r="AV15" s="223"/>
      <c r="AW15" s="223"/>
      <c r="AX15" s="223"/>
      <c r="AY15" s="223"/>
      <c r="AZ15" s="223"/>
      <c r="BA15" s="223"/>
      <c r="BB15" s="223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3"/>
    </row>
    <row r="16" spans="1:66" s="184" customFormat="1" ht="11.25" x14ac:dyDescent="0.15">
      <c r="A16" s="334"/>
      <c r="B16" s="186"/>
      <c r="C16" s="188" t="s">
        <v>253</v>
      </c>
      <c r="D16" s="188" t="s">
        <v>45</v>
      </c>
      <c r="E16" s="189">
        <v>14</v>
      </c>
      <c r="F16" s="26"/>
      <c r="G16" s="61"/>
      <c r="H16" s="26"/>
      <c r="I16" s="27"/>
      <c r="J16" s="27"/>
      <c r="K16" s="25"/>
      <c r="L16" s="25"/>
      <c r="M16" s="26"/>
      <c r="N16" s="27"/>
      <c r="O16" s="28"/>
      <c r="P16" s="29"/>
      <c r="Q16" s="195"/>
      <c r="R16" s="195"/>
      <c r="S16" s="195"/>
      <c r="T16" s="90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</row>
    <row r="17" spans="1:69" s="184" customFormat="1" ht="33.75" x14ac:dyDescent="0.15">
      <c r="A17" s="334" t="s">
        <v>34</v>
      </c>
      <c r="B17" s="182"/>
      <c r="C17" s="179" t="s">
        <v>255</v>
      </c>
      <c r="D17" s="180" t="s">
        <v>43</v>
      </c>
      <c r="E17" s="181">
        <f>ROUND(E16*3.4,2)</f>
        <v>47.6</v>
      </c>
      <c r="F17" s="26"/>
      <c r="G17" s="61"/>
      <c r="H17" s="26"/>
      <c r="I17" s="27"/>
      <c r="J17" s="27"/>
      <c r="K17" s="25"/>
      <c r="L17" s="25"/>
      <c r="M17" s="26"/>
      <c r="N17" s="27"/>
      <c r="O17" s="28"/>
      <c r="P17" s="29"/>
      <c r="Q17" s="195"/>
      <c r="R17" s="195"/>
      <c r="S17" s="195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</row>
    <row r="18" spans="1:69" s="184" customFormat="1" ht="45" x14ac:dyDescent="0.15">
      <c r="A18" s="334" t="s">
        <v>35</v>
      </c>
      <c r="B18" s="182"/>
      <c r="C18" s="179" t="s">
        <v>256</v>
      </c>
      <c r="D18" s="180" t="s">
        <v>43</v>
      </c>
      <c r="E18" s="183">
        <f>(1.4*1.7)*E16</f>
        <v>33.32</v>
      </c>
      <c r="F18" s="26"/>
      <c r="G18" s="61"/>
      <c r="H18" s="26"/>
      <c r="I18" s="27"/>
      <c r="J18" s="27"/>
      <c r="K18" s="25"/>
      <c r="L18" s="25"/>
      <c r="M18" s="26"/>
      <c r="N18" s="27"/>
      <c r="O18" s="28"/>
      <c r="P18" s="29"/>
      <c r="Q18" s="195"/>
      <c r="R18" s="195"/>
      <c r="S18" s="195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</row>
    <row r="19" spans="1:69" s="184" customFormat="1" ht="11.25" x14ac:dyDescent="0.15">
      <c r="A19" s="334"/>
      <c r="B19" s="176"/>
      <c r="C19" s="185" t="s">
        <v>267</v>
      </c>
      <c r="D19" s="180" t="s">
        <v>42</v>
      </c>
      <c r="E19" s="183">
        <f>ROUND(E18*0.15*1.2,2)</f>
        <v>6</v>
      </c>
      <c r="F19" s="26"/>
      <c r="G19" s="61"/>
      <c r="H19" s="26"/>
      <c r="I19" s="27"/>
      <c r="J19" s="27"/>
      <c r="K19" s="25"/>
      <c r="L19" s="25"/>
      <c r="M19" s="26"/>
      <c r="N19" s="27"/>
      <c r="O19" s="28"/>
      <c r="P19" s="29"/>
      <c r="Q19" s="195"/>
      <c r="R19" s="195"/>
      <c r="S19" s="195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</row>
    <row r="20" spans="1:69" s="184" customFormat="1" ht="33.75" x14ac:dyDescent="0.15">
      <c r="A20" s="334" t="s">
        <v>36</v>
      </c>
      <c r="B20" s="186"/>
      <c r="C20" s="206" t="s">
        <v>274</v>
      </c>
      <c r="D20" s="180" t="s">
        <v>43</v>
      </c>
      <c r="E20" s="181">
        <f>E16*3.7</f>
        <v>51.800000000000004</v>
      </c>
      <c r="F20" s="119"/>
      <c r="G20" s="61"/>
      <c r="H20" s="26"/>
      <c r="I20" s="27"/>
      <c r="J20" s="27"/>
      <c r="K20" s="25"/>
      <c r="L20" s="25"/>
      <c r="M20" s="26"/>
      <c r="N20" s="27"/>
      <c r="O20" s="28"/>
      <c r="P20" s="29"/>
      <c r="Q20" s="195"/>
      <c r="R20" s="195"/>
      <c r="S20" s="195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</row>
    <row r="21" spans="1:69" s="184" customFormat="1" ht="22.5" x14ac:dyDescent="0.15">
      <c r="A21" s="334"/>
      <c r="B21" s="186"/>
      <c r="C21" s="185" t="s">
        <v>268</v>
      </c>
      <c r="D21" s="180" t="s">
        <v>43</v>
      </c>
      <c r="E21" s="183">
        <f>E20</f>
        <v>51.800000000000004</v>
      </c>
      <c r="F21" s="119"/>
      <c r="G21" s="61"/>
      <c r="H21" s="26"/>
      <c r="I21" s="27"/>
      <c r="J21" s="27"/>
      <c r="K21" s="25"/>
      <c r="L21" s="25"/>
      <c r="M21" s="26"/>
      <c r="N21" s="27"/>
      <c r="O21" s="28"/>
      <c r="P21" s="29"/>
      <c r="Q21" s="195"/>
      <c r="R21" s="195"/>
      <c r="S21" s="195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</row>
    <row r="22" spans="1:69" s="184" customFormat="1" ht="33.75" x14ac:dyDescent="0.15">
      <c r="A22" s="334"/>
      <c r="B22" s="182"/>
      <c r="C22" s="185" t="s">
        <v>269</v>
      </c>
      <c r="D22" s="180" t="s">
        <v>43</v>
      </c>
      <c r="E22" s="183">
        <f>E20</f>
        <v>51.800000000000004</v>
      </c>
      <c r="F22" s="119"/>
      <c r="G22" s="61"/>
      <c r="H22" s="26"/>
      <c r="I22" s="27"/>
      <c r="J22" s="27"/>
      <c r="K22" s="25"/>
      <c r="L22" s="25"/>
      <c r="M22" s="26"/>
      <c r="N22" s="27"/>
      <c r="O22" s="28"/>
      <c r="P22" s="29"/>
      <c r="Q22" s="195"/>
      <c r="R22" s="195"/>
      <c r="S22" s="195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</row>
    <row r="23" spans="1:69" s="184" customFormat="1" ht="33.75" x14ac:dyDescent="0.15">
      <c r="A23" s="334" t="s">
        <v>37</v>
      </c>
      <c r="B23" s="176"/>
      <c r="C23" s="179" t="s">
        <v>257</v>
      </c>
      <c r="D23" s="180" t="s">
        <v>51</v>
      </c>
      <c r="E23" s="181">
        <f>(E16*54.1)/1000</f>
        <v>0.75739999999999996</v>
      </c>
      <c r="F23" s="26"/>
      <c r="G23" s="61"/>
      <c r="H23" s="26"/>
      <c r="I23" s="27"/>
      <c r="J23" s="27"/>
      <c r="K23" s="25"/>
      <c r="L23" s="25"/>
      <c r="M23" s="26"/>
      <c r="N23" s="27"/>
      <c r="O23" s="28"/>
      <c r="P23" s="29"/>
      <c r="Q23" s="195"/>
      <c r="R23" s="195"/>
      <c r="S23" s="195"/>
      <c r="T23" s="90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</row>
    <row r="24" spans="1:69" s="184" customFormat="1" ht="22.5" x14ac:dyDescent="0.15">
      <c r="A24" s="334"/>
      <c r="B24" s="186"/>
      <c r="C24" s="185" t="s">
        <v>249</v>
      </c>
      <c r="D24" s="180" t="s">
        <v>51</v>
      </c>
      <c r="E24" s="183">
        <f>E23*1.15</f>
        <v>0.87100999999999984</v>
      </c>
      <c r="F24" s="26"/>
      <c r="G24" s="61"/>
      <c r="H24" s="26"/>
      <c r="I24" s="27"/>
      <c r="J24" s="27"/>
      <c r="K24" s="25"/>
      <c r="L24" s="25"/>
      <c r="M24" s="26"/>
      <c r="N24" s="27"/>
      <c r="O24" s="28"/>
      <c r="P24" s="29"/>
      <c r="Q24" s="195"/>
      <c r="R24" s="195"/>
      <c r="S24" s="195"/>
      <c r="T24" s="90"/>
      <c r="U24" s="102"/>
      <c r="V24" s="207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</row>
    <row r="25" spans="1:69" s="184" customFormat="1" ht="22.5" x14ac:dyDescent="0.15">
      <c r="A25" s="334"/>
      <c r="B25" s="182"/>
      <c r="C25" s="185" t="s">
        <v>250</v>
      </c>
      <c r="D25" s="180" t="s">
        <v>48</v>
      </c>
      <c r="E25" s="183">
        <v>1</v>
      </c>
      <c r="F25" s="26"/>
      <c r="G25" s="61"/>
      <c r="H25" s="26"/>
      <c r="I25" s="27"/>
      <c r="J25" s="27"/>
      <c r="K25" s="25"/>
      <c r="L25" s="25"/>
      <c r="M25" s="26"/>
      <c r="N25" s="27"/>
      <c r="O25" s="28"/>
      <c r="P25" s="29"/>
      <c r="Q25" s="195"/>
      <c r="R25" s="195"/>
      <c r="S25" s="195"/>
      <c r="T25" s="90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</row>
    <row r="26" spans="1:69" s="184" customFormat="1" ht="22.5" x14ac:dyDescent="0.15">
      <c r="A26" s="334" t="s">
        <v>38</v>
      </c>
      <c r="B26" s="176"/>
      <c r="C26" s="179" t="s">
        <v>258</v>
      </c>
      <c r="D26" s="180" t="s">
        <v>42</v>
      </c>
      <c r="E26" s="181">
        <f>E16*0.82</f>
        <v>11.479999999999999</v>
      </c>
      <c r="F26" s="26"/>
      <c r="G26" s="61"/>
      <c r="H26" s="26"/>
      <c r="I26" s="27"/>
      <c r="J26" s="27"/>
      <c r="K26" s="25"/>
      <c r="L26" s="25"/>
      <c r="M26" s="26"/>
      <c r="N26" s="27"/>
      <c r="O26" s="28"/>
      <c r="P26" s="29"/>
      <c r="Q26" s="195"/>
      <c r="R26" s="195"/>
      <c r="S26" s="195"/>
      <c r="T26" s="90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</row>
    <row r="27" spans="1:69" s="184" customFormat="1" ht="11.25" x14ac:dyDescent="0.15">
      <c r="A27" s="334"/>
      <c r="B27" s="186"/>
      <c r="C27" s="187" t="s">
        <v>656</v>
      </c>
      <c r="D27" s="180" t="s">
        <v>42</v>
      </c>
      <c r="E27" s="181">
        <f>ROUND(E26*1.1,2)</f>
        <v>12.63</v>
      </c>
      <c r="F27" s="26"/>
      <c r="G27" s="61"/>
      <c r="H27" s="26"/>
      <c r="I27" s="27"/>
      <c r="J27" s="27"/>
      <c r="K27" s="25"/>
      <c r="L27" s="25"/>
      <c r="M27" s="26"/>
      <c r="N27" s="27"/>
      <c r="O27" s="28"/>
      <c r="P27" s="29"/>
      <c r="Q27" s="195"/>
      <c r="R27" s="195"/>
      <c r="S27" s="195"/>
      <c r="T27" s="90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</row>
    <row r="28" spans="1:69" s="184" customFormat="1" ht="11.25" x14ac:dyDescent="0.15">
      <c r="A28" s="334"/>
      <c r="B28" s="186"/>
      <c r="C28" s="185" t="s">
        <v>245</v>
      </c>
      <c r="D28" s="180" t="s">
        <v>246</v>
      </c>
      <c r="E28" s="181">
        <f>ROUND(E27/8*1,2)</f>
        <v>1.58</v>
      </c>
      <c r="F28" s="26"/>
      <c r="G28" s="61"/>
      <c r="H28" s="26"/>
      <c r="I28" s="27"/>
      <c r="J28" s="27"/>
      <c r="K28" s="25"/>
      <c r="L28" s="25"/>
      <c r="M28" s="26"/>
      <c r="N28" s="27"/>
      <c r="O28" s="28"/>
      <c r="P28" s="29"/>
      <c r="Q28" s="195"/>
      <c r="R28" s="195"/>
      <c r="S28" s="195"/>
      <c r="T28" s="90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</row>
    <row r="29" spans="1:69" s="184" customFormat="1" ht="11.25" x14ac:dyDescent="0.15">
      <c r="A29" s="334"/>
      <c r="B29" s="186"/>
      <c r="C29" s="185" t="s">
        <v>247</v>
      </c>
      <c r="D29" s="180" t="s">
        <v>246</v>
      </c>
      <c r="E29" s="181">
        <f>ROUND(E27/8*2,2)</f>
        <v>3.16</v>
      </c>
      <c r="F29" s="26"/>
      <c r="G29" s="61"/>
      <c r="H29" s="26"/>
      <c r="I29" s="27"/>
      <c r="J29" s="27"/>
      <c r="K29" s="25"/>
      <c r="L29" s="25"/>
      <c r="M29" s="26"/>
      <c r="N29" s="27"/>
      <c r="O29" s="28"/>
      <c r="P29" s="29"/>
      <c r="Q29" s="195"/>
      <c r="R29" s="195"/>
      <c r="S29" s="195"/>
      <c r="T29" s="90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</row>
    <row r="30" spans="1:69" s="184" customFormat="1" ht="11.25" x14ac:dyDescent="0.15">
      <c r="A30" s="334"/>
      <c r="B30" s="186"/>
      <c r="C30" s="185" t="s">
        <v>252</v>
      </c>
      <c r="D30" s="180" t="s">
        <v>48</v>
      </c>
      <c r="E30" s="183">
        <f>E16</f>
        <v>14</v>
      </c>
      <c r="F30" s="26"/>
      <c r="G30" s="61"/>
      <c r="H30" s="26"/>
      <c r="I30" s="27"/>
      <c r="J30" s="27"/>
      <c r="K30" s="25"/>
      <c r="L30" s="25"/>
      <c r="M30" s="26"/>
      <c r="N30" s="27"/>
      <c r="O30" s="28"/>
      <c r="P30" s="29"/>
      <c r="Q30" s="195"/>
      <c r="R30" s="195"/>
      <c r="S30" s="195"/>
      <c r="T30" s="207"/>
      <c r="U30" s="207"/>
      <c r="V30" s="207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</row>
    <row r="31" spans="1:69" s="184" customFormat="1" ht="11.25" x14ac:dyDescent="0.15">
      <c r="A31" s="334" t="s">
        <v>39</v>
      </c>
      <c r="B31" s="182"/>
      <c r="C31" s="179" t="s">
        <v>260</v>
      </c>
      <c r="D31" s="180" t="s">
        <v>45</v>
      </c>
      <c r="E31" s="181">
        <f>E16*4</f>
        <v>56</v>
      </c>
      <c r="F31" s="26"/>
      <c r="G31" s="61"/>
      <c r="H31" s="26"/>
      <c r="I31" s="27"/>
      <c r="J31" s="27"/>
      <c r="K31" s="25"/>
      <c r="L31" s="25"/>
      <c r="M31" s="26"/>
      <c r="N31" s="27"/>
      <c r="O31" s="28"/>
      <c r="P31" s="29"/>
      <c r="Q31" s="195"/>
      <c r="R31" s="195"/>
      <c r="S31" s="195"/>
      <c r="T31" s="207"/>
      <c r="U31" s="207"/>
      <c r="V31" s="207"/>
      <c r="W31" s="90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</row>
    <row r="32" spans="1:69" s="184" customFormat="1" ht="11.25" x14ac:dyDescent="0.15">
      <c r="A32" s="334"/>
      <c r="B32" s="186"/>
      <c r="C32" s="187" t="s">
        <v>261</v>
      </c>
      <c r="D32" s="180" t="s">
        <v>45</v>
      </c>
      <c r="E32" s="183">
        <f>E31</f>
        <v>56</v>
      </c>
      <c r="F32" s="26"/>
      <c r="G32" s="61"/>
      <c r="H32" s="26"/>
      <c r="I32" s="27"/>
      <c r="J32" s="27"/>
      <c r="K32" s="25"/>
      <c r="L32" s="25"/>
      <c r="M32" s="26"/>
      <c r="N32" s="27"/>
      <c r="O32" s="28"/>
      <c r="P32" s="29"/>
      <c r="Q32" s="195"/>
      <c r="R32" s="195"/>
      <c r="S32" s="195"/>
      <c r="T32" s="207"/>
      <c r="U32" s="207"/>
      <c r="V32" s="207"/>
      <c r="W32" s="90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</row>
    <row r="33" spans="1:69" s="184" customFormat="1" ht="11.25" x14ac:dyDescent="0.15">
      <c r="A33" s="334"/>
      <c r="B33" s="186"/>
      <c r="C33" s="188" t="s">
        <v>262</v>
      </c>
      <c r="D33" s="188" t="s">
        <v>45</v>
      </c>
      <c r="E33" s="189">
        <v>2</v>
      </c>
      <c r="F33" s="26"/>
      <c r="G33" s="61"/>
      <c r="H33" s="26"/>
      <c r="I33" s="27"/>
      <c r="J33" s="27"/>
      <c r="K33" s="25"/>
      <c r="L33" s="25"/>
      <c r="M33" s="26"/>
      <c r="N33" s="27"/>
      <c r="O33" s="28"/>
      <c r="P33" s="29"/>
      <c r="Q33" s="195"/>
      <c r="R33" s="195"/>
      <c r="S33" s="195"/>
      <c r="T33" s="90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</row>
    <row r="34" spans="1:69" s="184" customFormat="1" ht="33.75" x14ac:dyDescent="0.15">
      <c r="A34" s="334" t="s">
        <v>40</v>
      </c>
      <c r="B34" s="182"/>
      <c r="C34" s="179" t="s">
        <v>255</v>
      </c>
      <c r="D34" s="180" t="s">
        <v>43</v>
      </c>
      <c r="E34" s="181">
        <f>ROUND(E33*1.69,2)</f>
        <v>3.38</v>
      </c>
      <c r="F34" s="26"/>
      <c r="G34" s="61"/>
      <c r="H34" s="26"/>
      <c r="I34" s="27"/>
      <c r="J34" s="27"/>
      <c r="K34" s="25"/>
      <c r="L34" s="25"/>
      <c r="M34" s="26"/>
      <c r="N34" s="27"/>
      <c r="O34" s="28"/>
      <c r="P34" s="29"/>
      <c r="Q34" s="195"/>
      <c r="R34" s="195"/>
      <c r="S34" s="195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</row>
    <row r="35" spans="1:69" s="184" customFormat="1" ht="45" x14ac:dyDescent="0.15">
      <c r="A35" s="334" t="s">
        <v>313</v>
      </c>
      <c r="B35" s="182"/>
      <c r="C35" s="179" t="s">
        <v>256</v>
      </c>
      <c r="D35" s="180" t="s">
        <v>43</v>
      </c>
      <c r="E35" s="183">
        <f>1*1*E33</f>
        <v>2</v>
      </c>
      <c r="F35" s="26"/>
      <c r="G35" s="61"/>
      <c r="H35" s="26"/>
      <c r="I35" s="27"/>
      <c r="J35" s="27"/>
      <c r="K35" s="25"/>
      <c r="L35" s="25"/>
      <c r="M35" s="26"/>
      <c r="N35" s="27"/>
      <c r="O35" s="28"/>
      <c r="P35" s="29"/>
      <c r="Q35" s="195"/>
      <c r="R35" s="195"/>
      <c r="S35" s="195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</row>
    <row r="36" spans="1:69" s="184" customFormat="1" ht="11.25" x14ac:dyDescent="0.15">
      <c r="A36" s="334"/>
      <c r="B36" s="176"/>
      <c r="C36" s="185" t="s">
        <v>267</v>
      </c>
      <c r="D36" s="180" t="s">
        <v>42</v>
      </c>
      <c r="E36" s="183">
        <f>ROUND(E35*0.15*1.2,2)</f>
        <v>0.36</v>
      </c>
      <c r="F36" s="26"/>
      <c r="G36" s="61"/>
      <c r="H36" s="26"/>
      <c r="I36" s="27"/>
      <c r="J36" s="27"/>
      <c r="K36" s="25"/>
      <c r="L36" s="25"/>
      <c r="M36" s="26"/>
      <c r="N36" s="27"/>
      <c r="O36" s="28"/>
      <c r="P36" s="29"/>
      <c r="Q36" s="195"/>
      <c r="R36" s="195"/>
      <c r="S36" s="195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</row>
    <row r="37" spans="1:69" s="184" customFormat="1" ht="33.75" x14ac:dyDescent="0.15">
      <c r="A37" s="334" t="s">
        <v>316</v>
      </c>
      <c r="B37" s="186"/>
      <c r="C37" s="206" t="s">
        <v>274</v>
      </c>
      <c r="D37" s="180" t="s">
        <v>43</v>
      </c>
      <c r="E37" s="181">
        <f>(E33*2.8)</f>
        <v>5.6</v>
      </c>
      <c r="F37" s="119"/>
      <c r="G37" s="61"/>
      <c r="H37" s="26"/>
      <c r="I37" s="27"/>
      <c r="J37" s="27"/>
      <c r="K37" s="25"/>
      <c r="L37" s="25"/>
      <c r="M37" s="26"/>
      <c r="N37" s="27"/>
      <c r="O37" s="28"/>
      <c r="P37" s="29"/>
      <c r="Q37" s="195"/>
      <c r="R37" s="195"/>
      <c r="S37" s="195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</row>
    <row r="38" spans="1:69" s="184" customFormat="1" ht="22.5" x14ac:dyDescent="0.15">
      <c r="A38" s="334"/>
      <c r="B38" s="186"/>
      <c r="C38" s="185" t="s">
        <v>268</v>
      </c>
      <c r="D38" s="180" t="s">
        <v>43</v>
      </c>
      <c r="E38" s="183">
        <f>E37</f>
        <v>5.6</v>
      </c>
      <c r="F38" s="119"/>
      <c r="G38" s="61"/>
      <c r="H38" s="26"/>
      <c r="I38" s="27"/>
      <c r="J38" s="27"/>
      <c r="K38" s="25"/>
      <c r="L38" s="25"/>
      <c r="M38" s="26"/>
      <c r="N38" s="27"/>
      <c r="O38" s="28"/>
      <c r="P38" s="29"/>
      <c r="Q38" s="195"/>
      <c r="R38" s="195"/>
      <c r="S38" s="195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</row>
    <row r="39" spans="1:69" s="184" customFormat="1" ht="33.75" x14ac:dyDescent="0.15">
      <c r="A39" s="334"/>
      <c r="B39" s="182"/>
      <c r="C39" s="185" t="s">
        <v>269</v>
      </c>
      <c r="D39" s="180" t="s">
        <v>43</v>
      </c>
      <c r="E39" s="183">
        <f>E37</f>
        <v>5.6</v>
      </c>
      <c r="F39" s="119"/>
      <c r="G39" s="61"/>
      <c r="H39" s="26"/>
      <c r="I39" s="27"/>
      <c r="J39" s="27"/>
      <c r="K39" s="25"/>
      <c r="L39" s="25"/>
      <c r="M39" s="26"/>
      <c r="N39" s="27"/>
      <c r="O39" s="28"/>
      <c r="P39" s="29"/>
      <c r="Q39" s="195"/>
      <c r="R39" s="195"/>
      <c r="S39" s="195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</row>
    <row r="40" spans="1:69" s="184" customFormat="1" ht="33.75" x14ac:dyDescent="0.15">
      <c r="A40" s="334" t="s">
        <v>554</v>
      </c>
      <c r="B40" s="176"/>
      <c r="C40" s="179" t="s">
        <v>257</v>
      </c>
      <c r="D40" s="180" t="s">
        <v>51</v>
      </c>
      <c r="E40" s="181">
        <f>E33*24.6*0.001</f>
        <v>4.9200000000000001E-2</v>
      </c>
      <c r="F40" s="26"/>
      <c r="G40" s="61"/>
      <c r="H40" s="26"/>
      <c r="I40" s="27"/>
      <c r="J40" s="27"/>
      <c r="K40" s="25"/>
      <c r="L40" s="25"/>
      <c r="M40" s="26"/>
      <c r="N40" s="27"/>
      <c r="O40" s="28"/>
      <c r="P40" s="29"/>
      <c r="Q40" s="195"/>
      <c r="R40" s="195"/>
      <c r="S40" s="195"/>
      <c r="T40" s="90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</row>
    <row r="41" spans="1:69" s="184" customFormat="1" ht="22.5" x14ac:dyDescent="0.15">
      <c r="A41" s="334"/>
      <c r="B41" s="186"/>
      <c r="C41" s="185" t="s">
        <v>249</v>
      </c>
      <c r="D41" s="180" t="s">
        <v>51</v>
      </c>
      <c r="E41" s="183">
        <f>E40*1.15</f>
        <v>5.6579999999999998E-2</v>
      </c>
      <c r="F41" s="26"/>
      <c r="G41" s="61"/>
      <c r="H41" s="26"/>
      <c r="I41" s="27"/>
      <c r="J41" s="27"/>
      <c r="K41" s="25"/>
      <c r="L41" s="25"/>
      <c r="M41" s="26"/>
      <c r="N41" s="27"/>
      <c r="O41" s="28"/>
      <c r="P41" s="29"/>
      <c r="Q41" s="195"/>
      <c r="R41" s="195"/>
      <c r="S41" s="195"/>
      <c r="T41" s="90"/>
      <c r="U41" s="102"/>
      <c r="V41" s="207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</row>
    <row r="42" spans="1:69" s="184" customFormat="1" ht="22.5" x14ac:dyDescent="0.15">
      <c r="A42" s="334"/>
      <c r="B42" s="182"/>
      <c r="C42" s="185" t="s">
        <v>250</v>
      </c>
      <c r="D42" s="180" t="s">
        <v>48</v>
      </c>
      <c r="E42" s="183">
        <v>1</v>
      </c>
      <c r="F42" s="26"/>
      <c r="G42" s="61"/>
      <c r="H42" s="26"/>
      <c r="I42" s="27"/>
      <c r="J42" s="27"/>
      <c r="K42" s="25"/>
      <c r="L42" s="25"/>
      <c r="M42" s="26"/>
      <c r="N42" s="27"/>
      <c r="O42" s="28"/>
      <c r="P42" s="29"/>
      <c r="Q42" s="195"/>
      <c r="R42" s="195"/>
      <c r="S42" s="195"/>
      <c r="T42" s="90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</row>
    <row r="43" spans="1:69" s="184" customFormat="1" ht="22.5" x14ac:dyDescent="0.15">
      <c r="A43" s="334" t="s">
        <v>555</v>
      </c>
      <c r="B43" s="176"/>
      <c r="C43" s="179" t="s">
        <v>258</v>
      </c>
      <c r="D43" s="180" t="s">
        <v>42</v>
      </c>
      <c r="E43" s="181">
        <f>0.39*E33</f>
        <v>0.78</v>
      </c>
      <c r="F43" s="26"/>
      <c r="G43" s="61"/>
      <c r="H43" s="26"/>
      <c r="I43" s="27"/>
      <c r="J43" s="27"/>
      <c r="K43" s="25"/>
      <c r="L43" s="25"/>
      <c r="M43" s="26"/>
      <c r="N43" s="27"/>
      <c r="O43" s="28"/>
      <c r="P43" s="29"/>
      <c r="Q43" s="195"/>
      <c r="R43" s="195"/>
      <c r="S43" s="195"/>
      <c r="T43" s="90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</row>
    <row r="44" spans="1:69" s="184" customFormat="1" ht="11.25" x14ac:dyDescent="0.15">
      <c r="A44" s="334"/>
      <c r="B44" s="186"/>
      <c r="C44" s="187" t="s">
        <v>656</v>
      </c>
      <c r="D44" s="180" t="s">
        <v>42</v>
      </c>
      <c r="E44" s="181">
        <f>ROUND(E43*1.1,2)</f>
        <v>0.86</v>
      </c>
      <c r="F44" s="26"/>
      <c r="G44" s="61"/>
      <c r="H44" s="26"/>
      <c r="I44" s="27"/>
      <c r="J44" s="27"/>
      <c r="K44" s="25"/>
      <c r="L44" s="25"/>
      <c r="M44" s="26"/>
      <c r="N44" s="27"/>
      <c r="O44" s="28"/>
      <c r="P44" s="29"/>
      <c r="Q44" s="195"/>
      <c r="R44" s="195"/>
      <c r="S44" s="195"/>
      <c r="T44" s="90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</row>
    <row r="45" spans="1:69" s="184" customFormat="1" ht="11.25" x14ac:dyDescent="0.15">
      <c r="A45" s="334"/>
      <c r="B45" s="186"/>
      <c r="C45" s="185" t="s">
        <v>245</v>
      </c>
      <c r="D45" s="180" t="s">
        <v>246</v>
      </c>
      <c r="E45" s="181">
        <f>ROUND(E44/8*1,2)</f>
        <v>0.11</v>
      </c>
      <c r="F45" s="26"/>
      <c r="G45" s="61"/>
      <c r="H45" s="26"/>
      <c r="I45" s="27"/>
      <c r="J45" s="27"/>
      <c r="K45" s="25"/>
      <c r="L45" s="25"/>
      <c r="M45" s="26"/>
      <c r="N45" s="27"/>
      <c r="O45" s="28"/>
      <c r="P45" s="29"/>
      <c r="Q45" s="195"/>
      <c r="R45" s="195"/>
      <c r="S45" s="195"/>
      <c r="T45" s="90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</row>
    <row r="46" spans="1:69" s="184" customFormat="1" ht="11.25" x14ac:dyDescent="0.15">
      <c r="A46" s="334"/>
      <c r="B46" s="186"/>
      <c r="C46" s="185" t="s">
        <v>247</v>
      </c>
      <c r="D46" s="180" t="s">
        <v>246</v>
      </c>
      <c r="E46" s="181">
        <f>ROUND(E44/8*2,2)</f>
        <v>0.22</v>
      </c>
      <c r="F46" s="26"/>
      <c r="G46" s="61"/>
      <c r="H46" s="26"/>
      <c r="I46" s="27"/>
      <c r="J46" s="27"/>
      <c r="K46" s="25"/>
      <c r="L46" s="25"/>
      <c r="M46" s="26"/>
      <c r="N46" s="27"/>
      <c r="O46" s="28"/>
      <c r="P46" s="29"/>
      <c r="Q46" s="195"/>
      <c r="R46" s="195"/>
      <c r="S46" s="195"/>
      <c r="T46" s="90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</row>
    <row r="47" spans="1:69" s="184" customFormat="1" ht="11.25" x14ac:dyDescent="0.15">
      <c r="A47" s="334"/>
      <c r="B47" s="186"/>
      <c r="C47" s="185" t="s">
        <v>252</v>
      </c>
      <c r="D47" s="180" t="s">
        <v>48</v>
      </c>
      <c r="E47" s="183">
        <f>E33</f>
        <v>2</v>
      </c>
      <c r="F47" s="26"/>
      <c r="G47" s="61"/>
      <c r="H47" s="26"/>
      <c r="I47" s="27"/>
      <c r="J47" s="27"/>
      <c r="K47" s="25"/>
      <c r="L47" s="25"/>
      <c r="M47" s="26"/>
      <c r="N47" s="27"/>
      <c r="O47" s="28"/>
      <c r="P47" s="29"/>
      <c r="Q47" s="195"/>
      <c r="R47" s="195"/>
      <c r="S47" s="195"/>
      <c r="T47" s="207"/>
      <c r="U47" s="207"/>
      <c r="V47" s="207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</row>
    <row r="48" spans="1:69" s="184" customFormat="1" ht="11.25" x14ac:dyDescent="0.15">
      <c r="A48" s="334" t="s">
        <v>556</v>
      </c>
      <c r="B48" s="182"/>
      <c r="C48" s="179" t="s">
        <v>260</v>
      </c>
      <c r="D48" s="180" t="s">
        <v>45</v>
      </c>
      <c r="E48" s="181">
        <f>E33*2</f>
        <v>4</v>
      </c>
      <c r="F48" s="26"/>
      <c r="G48" s="61"/>
      <c r="H48" s="26"/>
      <c r="I48" s="27"/>
      <c r="J48" s="27"/>
      <c r="K48" s="25"/>
      <c r="L48" s="25"/>
      <c r="M48" s="26"/>
      <c r="N48" s="27"/>
      <c r="O48" s="28"/>
      <c r="P48" s="29"/>
      <c r="Q48" s="195"/>
      <c r="R48" s="195"/>
      <c r="S48" s="195"/>
      <c r="T48" s="207"/>
      <c r="U48" s="207"/>
      <c r="V48" s="207"/>
      <c r="W48" s="90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</row>
    <row r="49" spans="1:69" s="184" customFormat="1" ht="11.25" x14ac:dyDescent="0.15">
      <c r="A49" s="334"/>
      <c r="B49" s="186"/>
      <c r="C49" s="187" t="s">
        <v>261</v>
      </c>
      <c r="D49" s="180" t="s">
        <v>45</v>
      </c>
      <c r="E49" s="183">
        <f>E48</f>
        <v>4</v>
      </c>
      <c r="F49" s="26"/>
      <c r="G49" s="61"/>
      <c r="H49" s="26"/>
      <c r="I49" s="27"/>
      <c r="J49" s="27"/>
      <c r="K49" s="25"/>
      <c r="L49" s="25"/>
      <c r="M49" s="26"/>
      <c r="N49" s="27"/>
      <c r="O49" s="28"/>
      <c r="P49" s="29"/>
      <c r="Q49" s="195"/>
      <c r="R49" s="195"/>
      <c r="S49" s="195"/>
      <c r="T49" s="207"/>
      <c r="U49" s="207"/>
      <c r="V49" s="207"/>
      <c r="W49" s="90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69" s="184" customFormat="1" ht="11.25" x14ac:dyDescent="0.15">
      <c r="A50" s="334"/>
      <c r="B50" s="186"/>
      <c r="C50" s="188" t="s">
        <v>263</v>
      </c>
      <c r="D50" s="188" t="s">
        <v>45</v>
      </c>
      <c r="E50" s="189">
        <v>2</v>
      </c>
      <c r="F50" s="26"/>
      <c r="G50" s="61"/>
      <c r="H50" s="26"/>
      <c r="I50" s="27"/>
      <c r="J50" s="27"/>
      <c r="K50" s="25"/>
      <c r="L50" s="25"/>
      <c r="M50" s="26"/>
      <c r="N50" s="27"/>
      <c r="O50" s="28"/>
      <c r="P50" s="29"/>
      <c r="Q50" s="195"/>
      <c r="R50" s="195"/>
      <c r="S50" s="195"/>
      <c r="T50" s="90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</row>
    <row r="51" spans="1:69" s="184" customFormat="1" ht="33.75" x14ac:dyDescent="0.15">
      <c r="A51" s="334" t="s">
        <v>557</v>
      </c>
      <c r="B51" s="182"/>
      <c r="C51" s="179" t="s">
        <v>255</v>
      </c>
      <c r="D51" s="180" t="s">
        <v>43</v>
      </c>
      <c r="E51" s="181">
        <f>ROUND(E50*2.21,2)</f>
        <v>4.42</v>
      </c>
      <c r="F51" s="26"/>
      <c r="G51" s="61"/>
      <c r="H51" s="26"/>
      <c r="I51" s="27"/>
      <c r="J51" s="27"/>
      <c r="K51" s="25"/>
      <c r="L51" s="25"/>
      <c r="M51" s="26"/>
      <c r="N51" s="27"/>
      <c r="O51" s="28"/>
      <c r="P51" s="29"/>
      <c r="Q51" s="195"/>
      <c r="R51" s="195"/>
      <c r="S51" s="195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</row>
    <row r="52" spans="1:69" s="184" customFormat="1" ht="45" x14ac:dyDescent="0.15">
      <c r="A52" s="334" t="s">
        <v>558</v>
      </c>
      <c r="B52" s="182"/>
      <c r="C52" s="179" t="s">
        <v>256</v>
      </c>
      <c r="D52" s="180" t="s">
        <v>43</v>
      </c>
      <c r="E52" s="183">
        <f>1*1.4*E50</f>
        <v>2.8</v>
      </c>
      <c r="F52" s="26"/>
      <c r="G52" s="61"/>
      <c r="H52" s="26"/>
      <c r="I52" s="27"/>
      <c r="J52" s="27"/>
      <c r="K52" s="25"/>
      <c r="L52" s="25"/>
      <c r="M52" s="26"/>
      <c r="N52" s="27"/>
      <c r="O52" s="28"/>
      <c r="P52" s="29"/>
      <c r="Q52" s="195"/>
      <c r="R52" s="195"/>
      <c r="S52" s="195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</row>
    <row r="53" spans="1:69" s="184" customFormat="1" ht="11.25" x14ac:dyDescent="0.15">
      <c r="A53" s="334"/>
      <c r="B53" s="176"/>
      <c r="C53" s="185" t="s">
        <v>267</v>
      </c>
      <c r="D53" s="180" t="s">
        <v>42</v>
      </c>
      <c r="E53" s="183">
        <f>ROUND(E52*0.15*1.2,2)</f>
        <v>0.5</v>
      </c>
      <c r="F53" s="26"/>
      <c r="G53" s="61"/>
      <c r="H53" s="26"/>
      <c r="I53" s="27"/>
      <c r="J53" s="27"/>
      <c r="K53" s="25"/>
      <c r="L53" s="25"/>
      <c r="M53" s="26"/>
      <c r="N53" s="27"/>
      <c r="O53" s="28"/>
      <c r="P53" s="29"/>
      <c r="Q53" s="195"/>
      <c r="R53" s="195"/>
      <c r="S53" s="195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  <c r="BP53" s="102"/>
      <c r="BQ53" s="102"/>
    </row>
    <row r="54" spans="1:69" s="184" customFormat="1" ht="33.75" x14ac:dyDescent="0.15">
      <c r="A54" s="334" t="s">
        <v>559</v>
      </c>
      <c r="B54" s="186"/>
      <c r="C54" s="206" t="s">
        <v>274</v>
      </c>
      <c r="D54" s="180" t="s">
        <v>43</v>
      </c>
      <c r="E54" s="181">
        <f>(E50*3.66)</f>
        <v>7.32</v>
      </c>
      <c r="F54" s="119"/>
      <c r="G54" s="61"/>
      <c r="H54" s="26"/>
      <c r="I54" s="27"/>
      <c r="J54" s="27"/>
      <c r="K54" s="25"/>
      <c r="L54" s="25"/>
      <c r="M54" s="26"/>
      <c r="N54" s="27"/>
      <c r="O54" s="28"/>
      <c r="P54" s="29"/>
      <c r="Q54" s="195"/>
      <c r="R54" s="195"/>
      <c r="S54" s="195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2"/>
      <c r="BQ54" s="102"/>
    </row>
    <row r="55" spans="1:69" s="184" customFormat="1" ht="22.5" x14ac:dyDescent="0.15">
      <c r="A55" s="334"/>
      <c r="B55" s="186"/>
      <c r="C55" s="185" t="s">
        <v>268</v>
      </c>
      <c r="D55" s="180" t="s">
        <v>43</v>
      </c>
      <c r="E55" s="183">
        <f>E54</f>
        <v>7.32</v>
      </c>
      <c r="F55" s="119"/>
      <c r="G55" s="61"/>
      <c r="H55" s="26"/>
      <c r="I55" s="27"/>
      <c r="J55" s="27"/>
      <c r="K55" s="25"/>
      <c r="L55" s="25"/>
      <c r="M55" s="26"/>
      <c r="N55" s="27"/>
      <c r="O55" s="28"/>
      <c r="P55" s="29"/>
      <c r="Q55" s="195"/>
      <c r="R55" s="195"/>
      <c r="S55" s="195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</row>
    <row r="56" spans="1:69" s="184" customFormat="1" ht="33.75" x14ac:dyDescent="0.15">
      <c r="A56" s="334"/>
      <c r="B56" s="182"/>
      <c r="C56" s="185" t="s">
        <v>269</v>
      </c>
      <c r="D56" s="180" t="s">
        <v>43</v>
      </c>
      <c r="E56" s="183">
        <f>E54</f>
        <v>7.32</v>
      </c>
      <c r="F56" s="119"/>
      <c r="G56" s="61"/>
      <c r="H56" s="26"/>
      <c r="I56" s="27"/>
      <c r="J56" s="27"/>
      <c r="K56" s="25"/>
      <c r="L56" s="25"/>
      <c r="M56" s="26"/>
      <c r="N56" s="27"/>
      <c r="O56" s="28"/>
      <c r="P56" s="29"/>
      <c r="Q56" s="195"/>
      <c r="R56" s="195"/>
      <c r="S56" s="195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</row>
    <row r="57" spans="1:69" s="184" customFormat="1" ht="33.75" x14ac:dyDescent="0.15">
      <c r="A57" s="334" t="s">
        <v>560</v>
      </c>
      <c r="B57" s="176"/>
      <c r="C57" s="179" t="s">
        <v>257</v>
      </c>
      <c r="D57" s="180" t="s">
        <v>51</v>
      </c>
      <c r="E57" s="181">
        <f>E50*36.85*0.001</f>
        <v>7.3700000000000002E-2</v>
      </c>
      <c r="F57" s="26"/>
      <c r="G57" s="61"/>
      <c r="H57" s="26"/>
      <c r="I57" s="27"/>
      <c r="J57" s="27"/>
      <c r="K57" s="25"/>
      <c r="L57" s="25"/>
      <c r="M57" s="26"/>
      <c r="N57" s="27"/>
      <c r="O57" s="28"/>
      <c r="P57" s="29"/>
      <c r="Q57" s="195"/>
      <c r="R57" s="195"/>
      <c r="S57" s="195"/>
      <c r="T57" s="90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</row>
    <row r="58" spans="1:69" s="184" customFormat="1" ht="22.5" x14ac:dyDescent="0.15">
      <c r="A58" s="334"/>
      <c r="B58" s="186"/>
      <c r="C58" s="185" t="s">
        <v>249</v>
      </c>
      <c r="D58" s="180" t="s">
        <v>51</v>
      </c>
      <c r="E58" s="183">
        <f>E57*1.15</f>
        <v>8.4754999999999997E-2</v>
      </c>
      <c r="F58" s="26"/>
      <c r="G58" s="61"/>
      <c r="H58" s="26"/>
      <c r="I58" s="27"/>
      <c r="J58" s="27"/>
      <c r="K58" s="25"/>
      <c r="L58" s="25"/>
      <c r="M58" s="26"/>
      <c r="N58" s="27"/>
      <c r="O58" s="28"/>
      <c r="P58" s="29"/>
      <c r="Q58" s="195"/>
      <c r="R58" s="195"/>
      <c r="S58" s="195"/>
      <c r="T58" s="90"/>
      <c r="U58" s="102"/>
      <c r="V58" s="207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</row>
    <row r="59" spans="1:69" s="184" customFormat="1" ht="22.5" x14ac:dyDescent="0.15">
      <c r="A59" s="334"/>
      <c r="B59" s="182"/>
      <c r="C59" s="185" t="s">
        <v>250</v>
      </c>
      <c r="D59" s="180" t="s">
        <v>48</v>
      </c>
      <c r="E59" s="183">
        <v>1</v>
      </c>
      <c r="F59" s="26"/>
      <c r="G59" s="61"/>
      <c r="H59" s="26"/>
      <c r="I59" s="27"/>
      <c r="J59" s="27"/>
      <c r="K59" s="25"/>
      <c r="L59" s="25"/>
      <c r="M59" s="26"/>
      <c r="N59" s="27"/>
      <c r="O59" s="28"/>
      <c r="P59" s="29"/>
      <c r="Q59" s="195"/>
      <c r="R59" s="195"/>
      <c r="S59" s="195"/>
      <c r="T59" s="90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2"/>
      <c r="BE59" s="102"/>
      <c r="BF59" s="102"/>
      <c r="BG59" s="102"/>
      <c r="BH59" s="102"/>
      <c r="BI59" s="102"/>
      <c r="BJ59" s="102"/>
      <c r="BK59" s="102"/>
      <c r="BL59" s="102"/>
      <c r="BM59" s="102"/>
      <c r="BN59" s="102"/>
    </row>
    <row r="60" spans="1:69" s="184" customFormat="1" ht="22.5" x14ac:dyDescent="0.15">
      <c r="A60" s="334" t="s">
        <v>734</v>
      </c>
      <c r="B60" s="176"/>
      <c r="C60" s="179" t="s">
        <v>258</v>
      </c>
      <c r="D60" s="180" t="s">
        <v>42</v>
      </c>
      <c r="E60" s="181">
        <f>ROUND(E50*0.62,2)</f>
        <v>1.24</v>
      </c>
      <c r="F60" s="26"/>
      <c r="G60" s="61"/>
      <c r="H60" s="26"/>
      <c r="I60" s="27"/>
      <c r="J60" s="27"/>
      <c r="K60" s="25"/>
      <c r="L60" s="25"/>
      <c r="M60" s="26"/>
      <c r="N60" s="27"/>
      <c r="O60" s="28"/>
      <c r="P60" s="29"/>
      <c r="Q60" s="195"/>
      <c r="R60" s="195"/>
      <c r="S60" s="195"/>
      <c r="T60" s="90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102"/>
      <c r="BG60" s="102"/>
      <c r="BH60" s="102"/>
      <c r="BI60" s="102"/>
      <c r="BJ60" s="102"/>
      <c r="BK60" s="102"/>
      <c r="BL60" s="102"/>
      <c r="BM60" s="102"/>
      <c r="BN60" s="102"/>
    </row>
    <row r="61" spans="1:69" s="184" customFormat="1" ht="11.25" x14ac:dyDescent="0.15">
      <c r="A61" s="334"/>
      <c r="B61" s="186"/>
      <c r="C61" s="187" t="s">
        <v>656</v>
      </c>
      <c r="D61" s="180" t="s">
        <v>42</v>
      </c>
      <c r="E61" s="181">
        <f>ROUND(E60*1.1,2)</f>
        <v>1.36</v>
      </c>
      <c r="F61" s="26"/>
      <c r="G61" s="61"/>
      <c r="H61" s="26"/>
      <c r="I61" s="27"/>
      <c r="J61" s="27"/>
      <c r="K61" s="25"/>
      <c r="L61" s="25"/>
      <c r="M61" s="26"/>
      <c r="N61" s="27"/>
      <c r="O61" s="28"/>
      <c r="P61" s="29"/>
      <c r="Q61" s="195"/>
      <c r="R61" s="195"/>
      <c r="S61" s="195"/>
      <c r="T61" s="90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102"/>
      <c r="AY61" s="102"/>
      <c r="AZ61" s="102"/>
      <c r="BA61" s="102"/>
      <c r="BB61" s="102"/>
      <c r="BC61" s="102"/>
      <c r="BD61" s="102"/>
      <c r="BE61" s="102"/>
      <c r="BF61" s="102"/>
      <c r="BG61" s="102"/>
      <c r="BH61" s="102"/>
      <c r="BI61" s="102"/>
      <c r="BJ61" s="102"/>
      <c r="BK61" s="102"/>
      <c r="BL61" s="102"/>
      <c r="BM61" s="102"/>
      <c r="BN61" s="102"/>
    </row>
    <row r="62" spans="1:69" s="184" customFormat="1" ht="11.25" x14ac:dyDescent="0.15">
      <c r="A62" s="334"/>
      <c r="B62" s="186"/>
      <c r="C62" s="185" t="s">
        <v>245</v>
      </c>
      <c r="D62" s="180" t="s">
        <v>246</v>
      </c>
      <c r="E62" s="181">
        <f>ROUND(E61/8*1,2)</f>
        <v>0.17</v>
      </c>
      <c r="F62" s="26"/>
      <c r="G62" s="61"/>
      <c r="H62" s="26"/>
      <c r="I62" s="27"/>
      <c r="J62" s="27"/>
      <c r="K62" s="25"/>
      <c r="L62" s="25"/>
      <c r="M62" s="26"/>
      <c r="N62" s="27"/>
      <c r="O62" s="28"/>
      <c r="P62" s="29"/>
      <c r="Q62" s="195"/>
      <c r="R62" s="195"/>
      <c r="S62" s="195"/>
      <c r="T62" s="90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102"/>
      <c r="BF62" s="102"/>
      <c r="BG62" s="102"/>
      <c r="BH62" s="102"/>
      <c r="BI62" s="102"/>
      <c r="BJ62" s="102"/>
      <c r="BK62" s="102"/>
      <c r="BL62" s="102"/>
      <c r="BM62" s="102"/>
      <c r="BN62" s="102"/>
    </row>
    <row r="63" spans="1:69" s="184" customFormat="1" ht="11.25" x14ac:dyDescent="0.15">
      <c r="A63" s="334"/>
      <c r="B63" s="186"/>
      <c r="C63" s="185" t="s">
        <v>247</v>
      </c>
      <c r="D63" s="180" t="s">
        <v>246</v>
      </c>
      <c r="E63" s="181">
        <f>ROUND(E61/8*2,2)</f>
        <v>0.34</v>
      </c>
      <c r="F63" s="26"/>
      <c r="G63" s="61"/>
      <c r="H63" s="26"/>
      <c r="I63" s="27"/>
      <c r="J63" s="27"/>
      <c r="K63" s="25"/>
      <c r="L63" s="25"/>
      <c r="M63" s="26"/>
      <c r="N63" s="27"/>
      <c r="O63" s="28"/>
      <c r="P63" s="29"/>
      <c r="Q63" s="195"/>
      <c r="R63" s="195"/>
      <c r="S63" s="195"/>
      <c r="T63" s="90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2"/>
      <c r="BK63" s="102"/>
      <c r="BL63" s="102"/>
      <c r="BM63" s="102"/>
      <c r="BN63" s="102"/>
    </row>
    <row r="64" spans="1:69" s="184" customFormat="1" ht="11.25" x14ac:dyDescent="0.15">
      <c r="A64" s="334"/>
      <c r="B64" s="186"/>
      <c r="C64" s="185" t="s">
        <v>252</v>
      </c>
      <c r="D64" s="180" t="s">
        <v>48</v>
      </c>
      <c r="E64" s="183">
        <f>E50</f>
        <v>2</v>
      </c>
      <c r="F64" s="26"/>
      <c r="G64" s="61"/>
      <c r="H64" s="26"/>
      <c r="I64" s="27"/>
      <c r="J64" s="27"/>
      <c r="K64" s="25"/>
      <c r="L64" s="25"/>
      <c r="M64" s="26"/>
      <c r="N64" s="27"/>
      <c r="O64" s="28"/>
      <c r="P64" s="29"/>
      <c r="Q64" s="195"/>
      <c r="R64" s="195"/>
      <c r="S64" s="195"/>
      <c r="T64" s="207"/>
      <c r="U64" s="207"/>
      <c r="V64" s="207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/>
      <c r="BF64" s="102"/>
      <c r="BG64" s="102"/>
      <c r="BH64" s="102"/>
      <c r="BI64" s="102"/>
      <c r="BJ64" s="102"/>
      <c r="BK64" s="102"/>
      <c r="BL64" s="102"/>
      <c r="BM64" s="102"/>
      <c r="BN64" s="102"/>
      <c r="BO64" s="102"/>
      <c r="BP64" s="102"/>
      <c r="BQ64" s="102"/>
    </row>
    <row r="65" spans="1:69" s="184" customFormat="1" ht="11.25" x14ac:dyDescent="0.15">
      <c r="A65" s="334" t="s">
        <v>736</v>
      </c>
      <c r="B65" s="182"/>
      <c r="C65" s="179" t="s">
        <v>260</v>
      </c>
      <c r="D65" s="180" t="s">
        <v>45</v>
      </c>
      <c r="E65" s="181">
        <f>E50*4</f>
        <v>8</v>
      </c>
      <c r="F65" s="26"/>
      <c r="G65" s="61"/>
      <c r="H65" s="26"/>
      <c r="I65" s="27"/>
      <c r="J65" s="27"/>
      <c r="K65" s="25"/>
      <c r="L65" s="25"/>
      <c r="M65" s="26"/>
      <c r="N65" s="27"/>
      <c r="O65" s="28"/>
      <c r="P65" s="29"/>
      <c r="Q65" s="195"/>
      <c r="R65" s="195"/>
      <c r="S65" s="195"/>
      <c r="T65" s="207"/>
      <c r="U65" s="207"/>
      <c r="V65" s="207"/>
      <c r="W65" s="90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02"/>
      <c r="BE65" s="102"/>
      <c r="BF65" s="102"/>
      <c r="BG65" s="102"/>
      <c r="BH65" s="102"/>
      <c r="BI65" s="102"/>
      <c r="BJ65" s="102"/>
      <c r="BK65" s="102"/>
      <c r="BL65" s="102"/>
      <c r="BM65" s="102"/>
      <c r="BN65" s="102"/>
      <c r="BO65" s="102"/>
      <c r="BP65" s="102"/>
      <c r="BQ65" s="102"/>
    </row>
    <row r="66" spans="1:69" s="184" customFormat="1" ht="11.25" x14ac:dyDescent="0.15">
      <c r="A66" s="334"/>
      <c r="B66" s="186"/>
      <c r="C66" s="187" t="s">
        <v>261</v>
      </c>
      <c r="D66" s="180" t="s">
        <v>45</v>
      </c>
      <c r="E66" s="183">
        <f>E65</f>
        <v>8</v>
      </c>
      <c r="F66" s="26"/>
      <c r="G66" s="61"/>
      <c r="H66" s="26"/>
      <c r="I66" s="27"/>
      <c r="J66" s="27"/>
      <c r="K66" s="25"/>
      <c r="L66" s="25"/>
      <c r="M66" s="26"/>
      <c r="N66" s="27"/>
      <c r="O66" s="28"/>
      <c r="P66" s="29"/>
      <c r="Q66" s="195"/>
      <c r="R66" s="195"/>
      <c r="S66" s="195"/>
      <c r="T66" s="207"/>
      <c r="U66" s="207"/>
      <c r="V66" s="207"/>
      <c r="W66" s="90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/>
      <c r="BF66" s="102"/>
      <c r="BG66" s="102"/>
      <c r="BH66" s="102"/>
      <c r="BI66" s="102"/>
      <c r="BJ66" s="102"/>
      <c r="BK66" s="102"/>
      <c r="BL66" s="102"/>
      <c r="BM66" s="102"/>
      <c r="BN66" s="102"/>
      <c r="BO66" s="102"/>
      <c r="BP66" s="102"/>
      <c r="BQ66" s="102"/>
    </row>
    <row r="67" spans="1:69" s="184" customFormat="1" ht="11.25" x14ac:dyDescent="0.15">
      <c r="A67" s="334"/>
      <c r="B67" s="186"/>
      <c r="C67" s="188" t="s">
        <v>264</v>
      </c>
      <c r="D67" s="188" t="s">
        <v>45</v>
      </c>
      <c r="E67" s="189">
        <v>14</v>
      </c>
      <c r="F67" s="26"/>
      <c r="G67" s="61"/>
      <c r="H67" s="26"/>
      <c r="I67" s="27"/>
      <c r="J67" s="27"/>
      <c r="K67" s="25"/>
      <c r="L67" s="25"/>
      <c r="M67" s="26"/>
      <c r="N67" s="27"/>
      <c r="O67" s="28"/>
      <c r="P67" s="29"/>
      <c r="Q67" s="195"/>
      <c r="R67" s="195"/>
      <c r="S67" s="195"/>
      <c r="T67" s="90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/>
      <c r="BF67" s="102"/>
      <c r="BG67" s="102"/>
      <c r="BH67" s="102"/>
      <c r="BI67" s="102"/>
      <c r="BJ67" s="102"/>
      <c r="BK67" s="102"/>
      <c r="BL67" s="102"/>
      <c r="BM67" s="102"/>
      <c r="BN67" s="102"/>
    </row>
    <row r="68" spans="1:69" s="184" customFormat="1" ht="33.75" x14ac:dyDescent="0.15">
      <c r="A68" s="334" t="s">
        <v>733</v>
      </c>
      <c r="B68" s="182"/>
      <c r="C68" s="179" t="s">
        <v>255</v>
      </c>
      <c r="D68" s="180" t="s">
        <v>43</v>
      </c>
      <c r="E68" s="181">
        <f>ROUND(E67*1.69,2)</f>
        <v>23.66</v>
      </c>
      <c r="F68" s="26"/>
      <c r="G68" s="61"/>
      <c r="H68" s="26"/>
      <c r="I68" s="27"/>
      <c r="J68" s="27"/>
      <c r="K68" s="25"/>
      <c r="L68" s="25"/>
      <c r="M68" s="26"/>
      <c r="N68" s="27"/>
      <c r="O68" s="28"/>
      <c r="P68" s="29"/>
      <c r="Q68" s="195"/>
      <c r="R68" s="195"/>
      <c r="S68" s="195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/>
      <c r="BF68" s="102"/>
      <c r="BG68" s="102"/>
      <c r="BH68" s="102"/>
      <c r="BI68" s="102"/>
      <c r="BJ68" s="102"/>
      <c r="BK68" s="102"/>
      <c r="BL68" s="102"/>
      <c r="BM68" s="102"/>
      <c r="BN68" s="102"/>
      <c r="BO68" s="102"/>
      <c r="BP68" s="102"/>
      <c r="BQ68" s="102"/>
    </row>
    <row r="69" spans="1:69" s="184" customFormat="1" ht="45" x14ac:dyDescent="0.15">
      <c r="A69" s="334" t="s">
        <v>561</v>
      </c>
      <c r="B69" s="182"/>
      <c r="C69" s="179" t="s">
        <v>256</v>
      </c>
      <c r="D69" s="180" t="s">
        <v>43</v>
      </c>
      <c r="E69" s="183">
        <f>1*E67</f>
        <v>14</v>
      </c>
      <c r="F69" s="26"/>
      <c r="G69" s="61"/>
      <c r="H69" s="26"/>
      <c r="I69" s="27"/>
      <c r="J69" s="27"/>
      <c r="K69" s="25"/>
      <c r="L69" s="25"/>
      <c r="M69" s="26"/>
      <c r="N69" s="27"/>
      <c r="O69" s="28"/>
      <c r="P69" s="29"/>
      <c r="Q69" s="195"/>
      <c r="R69" s="195"/>
      <c r="S69" s="195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  <c r="BC69" s="102"/>
      <c r="BD69" s="102"/>
      <c r="BE69" s="102"/>
      <c r="BF69" s="102"/>
      <c r="BG69" s="102"/>
      <c r="BH69" s="102"/>
      <c r="BI69" s="102"/>
      <c r="BJ69" s="102"/>
      <c r="BK69" s="102"/>
      <c r="BL69" s="102"/>
      <c r="BM69" s="102"/>
      <c r="BN69" s="102"/>
      <c r="BO69" s="102"/>
      <c r="BP69" s="102"/>
      <c r="BQ69" s="102"/>
    </row>
    <row r="70" spans="1:69" s="184" customFormat="1" ht="11.25" x14ac:dyDescent="0.15">
      <c r="A70" s="334"/>
      <c r="B70" s="176"/>
      <c r="C70" s="185" t="s">
        <v>267</v>
      </c>
      <c r="D70" s="180" t="s">
        <v>42</v>
      </c>
      <c r="E70" s="183">
        <f>ROUND(E69*0.15*1.2,2)</f>
        <v>2.52</v>
      </c>
      <c r="F70" s="26"/>
      <c r="G70" s="61"/>
      <c r="H70" s="26"/>
      <c r="I70" s="27"/>
      <c r="J70" s="27"/>
      <c r="K70" s="25"/>
      <c r="L70" s="25"/>
      <c r="M70" s="26"/>
      <c r="N70" s="27"/>
      <c r="O70" s="28"/>
      <c r="P70" s="29"/>
      <c r="Q70" s="195"/>
      <c r="R70" s="195"/>
      <c r="S70" s="195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102"/>
      <c r="AY70" s="102"/>
      <c r="AZ70" s="102"/>
      <c r="BA70" s="102"/>
      <c r="BB70" s="102"/>
      <c r="BC70" s="102"/>
      <c r="BD70" s="102"/>
      <c r="BE70" s="102"/>
      <c r="BF70" s="102"/>
      <c r="BG70" s="102"/>
      <c r="BH70" s="102"/>
      <c r="BI70" s="102"/>
      <c r="BJ70" s="102"/>
      <c r="BK70" s="102"/>
      <c r="BL70" s="102"/>
      <c r="BM70" s="102"/>
      <c r="BN70" s="102"/>
      <c r="BO70" s="102"/>
      <c r="BP70" s="102"/>
      <c r="BQ70" s="102"/>
    </row>
    <row r="71" spans="1:69" s="184" customFormat="1" ht="33.75" x14ac:dyDescent="0.15">
      <c r="A71" s="334" t="s">
        <v>562</v>
      </c>
      <c r="B71" s="186"/>
      <c r="C71" s="206" t="s">
        <v>274</v>
      </c>
      <c r="D71" s="180" t="s">
        <v>43</v>
      </c>
      <c r="E71" s="181">
        <f>2.59*E67</f>
        <v>36.26</v>
      </c>
      <c r="F71" s="119"/>
      <c r="G71" s="61"/>
      <c r="H71" s="26"/>
      <c r="I71" s="27"/>
      <c r="J71" s="27"/>
      <c r="K71" s="25"/>
      <c r="L71" s="25"/>
      <c r="M71" s="26"/>
      <c r="N71" s="27"/>
      <c r="O71" s="28"/>
      <c r="P71" s="29"/>
      <c r="Q71" s="195"/>
      <c r="R71" s="195"/>
      <c r="S71" s="195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102"/>
      <c r="AY71" s="102"/>
      <c r="AZ71" s="102"/>
      <c r="BA71" s="102"/>
      <c r="BB71" s="102"/>
      <c r="BC71" s="102"/>
      <c r="BD71" s="102"/>
      <c r="BE71" s="102"/>
      <c r="BF71" s="102"/>
      <c r="BG71" s="102"/>
      <c r="BH71" s="102"/>
      <c r="BI71" s="102"/>
      <c r="BJ71" s="102"/>
      <c r="BK71" s="102"/>
      <c r="BL71" s="102"/>
      <c r="BM71" s="102"/>
      <c r="BN71" s="102"/>
      <c r="BO71" s="102"/>
      <c r="BP71" s="102"/>
      <c r="BQ71" s="102"/>
    </row>
    <row r="72" spans="1:69" s="184" customFormat="1" ht="22.5" x14ac:dyDescent="0.15">
      <c r="A72" s="334"/>
      <c r="B72" s="186"/>
      <c r="C72" s="185" t="s">
        <v>268</v>
      </c>
      <c r="D72" s="180" t="s">
        <v>43</v>
      </c>
      <c r="E72" s="183">
        <f>E71</f>
        <v>36.26</v>
      </c>
      <c r="F72" s="119"/>
      <c r="G72" s="61"/>
      <c r="H72" s="26"/>
      <c r="I72" s="27"/>
      <c r="J72" s="27"/>
      <c r="K72" s="25"/>
      <c r="L72" s="25"/>
      <c r="M72" s="26"/>
      <c r="N72" s="27"/>
      <c r="O72" s="28"/>
      <c r="P72" s="29"/>
      <c r="Q72" s="195"/>
      <c r="R72" s="195"/>
      <c r="S72" s="195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102"/>
      <c r="BF72" s="102"/>
      <c r="BG72" s="102"/>
      <c r="BH72" s="102"/>
      <c r="BI72" s="102"/>
      <c r="BJ72" s="102"/>
      <c r="BK72" s="102"/>
      <c r="BL72" s="102"/>
      <c r="BM72" s="102"/>
      <c r="BN72" s="102"/>
      <c r="BO72" s="102"/>
      <c r="BP72" s="102"/>
      <c r="BQ72" s="102"/>
    </row>
    <row r="73" spans="1:69" s="184" customFormat="1" ht="33.75" x14ac:dyDescent="0.15">
      <c r="A73" s="334"/>
      <c r="B73" s="182"/>
      <c r="C73" s="185" t="s">
        <v>269</v>
      </c>
      <c r="D73" s="180" t="s">
        <v>43</v>
      </c>
      <c r="E73" s="183">
        <f>E71</f>
        <v>36.26</v>
      </c>
      <c r="F73" s="119"/>
      <c r="G73" s="61"/>
      <c r="H73" s="26"/>
      <c r="I73" s="27"/>
      <c r="J73" s="27"/>
      <c r="K73" s="25"/>
      <c r="L73" s="25"/>
      <c r="M73" s="26"/>
      <c r="N73" s="27"/>
      <c r="O73" s="28"/>
      <c r="P73" s="29"/>
      <c r="Q73" s="195"/>
      <c r="R73" s="195"/>
      <c r="S73" s="195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102"/>
      <c r="AY73" s="102"/>
      <c r="AZ73" s="102"/>
      <c r="BA73" s="102"/>
      <c r="BB73" s="102"/>
      <c r="BC73" s="102"/>
      <c r="BD73" s="102"/>
      <c r="BE73" s="102"/>
      <c r="BF73" s="102"/>
      <c r="BG73" s="102"/>
      <c r="BH73" s="102"/>
      <c r="BI73" s="102"/>
      <c r="BJ73" s="102"/>
      <c r="BK73" s="102"/>
      <c r="BL73" s="102"/>
      <c r="BM73" s="102"/>
      <c r="BN73" s="102"/>
      <c r="BO73" s="102"/>
      <c r="BP73" s="102"/>
      <c r="BQ73" s="102"/>
    </row>
    <row r="74" spans="1:69" s="184" customFormat="1" ht="33.75" x14ac:dyDescent="0.15">
      <c r="A74" s="334" t="s">
        <v>563</v>
      </c>
      <c r="B74" s="176"/>
      <c r="C74" s="179" t="s">
        <v>257</v>
      </c>
      <c r="D74" s="180" t="s">
        <v>51</v>
      </c>
      <c r="E74" s="181">
        <f>E67*24.04*0.001</f>
        <v>0.33656000000000003</v>
      </c>
      <c r="F74" s="26"/>
      <c r="G74" s="61"/>
      <c r="H74" s="26"/>
      <c r="I74" s="27"/>
      <c r="J74" s="27"/>
      <c r="K74" s="25"/>
      <c r="L74" s="25"/>
      <c r="M74" s="26"/>
      <c r="N74" s="27"/>
      <c r="O74" s="28"/>
      <c r="P74" s="29"/>
      <c r="Q74" s="195"/>
      <c r="R74" s="195"/>
      <c r="S74" s="195"/>
      <c r="T74" s="90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  <c r="BC74" s="102"/>
      <c r="BD74" s="102"/>
      <c r="BE74" s="102"/>
      <c r="BF74" s="102"/>
      <c r="BG74" s="102"/>
      <c r="BH74" s="102"/>
      <c r="BI74" s="102"/>
      <c r="BJ74" s="102"/>
      <c r="BK74" s="102"/>
      <c r="BL74" s="102"/>
      <c r="BM74" s="102"/>
      <c r="BN74" s="102"/>
    </row>
    <row r="75" spans="1:69" s="184" customFormat="1" ht="22.5" x14ac:dyDescent="0.15">
      <c r="A75" s="334"/>
      <c r="B75" s="186"/>
      <c r="C75" s="185" t="s">
        <v>249</v>
      </c>
      <c r="D75" s="180" t="s">
        <v>51</v>
      </c>
      <c r="E75" s="183">
        <f>E74*1.15</f>
        <v>0.387044</v>
      </c>
      <c r="F75" s="26"/>
      <c r="G75" s="61"/>
      <c r="H75" s="26"/>
      <c r="I75" s="27"/>
      <c r="J75" s="27"/>
      <c r="K75" s="25"/>
      <c r="L75" s="25"/>
      <c r="M75" s="26"/>
      <c r="N75" s="27"/>
      <c r="O75" s="28"/>
      <c r="P75" s="29"/>
      <c r="Q75" s="195"/>
      <c r="R75" s="195"/>
      <c r="S75" s="195"/>
      <c r="T75" s="90"/>
      <c r="U75" s="102"/>
      <c r="V75" s="207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</row>
    <row r="76" spans="1:69" s="184" customFormat="1" ht="22.5" x14ac:dyDescent="0.15">
      <c r="A76" s="334"/>
      <c r="B76" s="182"/>
      <c r="C76" s="185" t="s">
        <v>250</v>
      </c>
      <c r="D76" s="180" t="s">
        <v>48</v>
      </c>
      <c r="E76" s="183">
        <v>1</v>
      </c>
      <c r="F76" s="26"/>
      <c r="G76" s="61"/>
      <c r="H76" s="26"/>
      <c r="I76" s="27"/>
      <c r="J76" s="27"/>
      <c r="K76" s="25"/>
      <c r="L76" s="25"/>
      <c r="M76" s="26"/>
      <c r="N76" s="27"/>
      <c r="O76" s="28"/>
      <c r="P76" s="29"/>
      <c r="Q76" s="195"/>
      <c r="R76" s="195"/>
      <c r="S76" s="195"/>
      <c r="T76" s="90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  <c r="BC76" s="102"/>
      <c r="BD76" s="102"/>
      <c r="BE76" s="102"/>
      <c r="BF76" s="102"/>
      <c r="BG76" s="102"/>
      <c r="BH76" s="102"/>
      <c r="BI76" s="102"/>
      <c r="BJ76" s="102"/>
      <c r="BK76" s="102"/>
      <c r="BL76" s="102"/>
      <c r="BM76" s="102"/>
      <c r="BN76" s="102"/>
    </row>
    <row r="77" spans="1:69" s="184" customFormat="1" ht="22.5" x14ac:dyDescent="0.15">
      <c r="A77" s="334" t="s">
        <v>735</v>
      </c>
      <c r="B77" s="176"/>
      <c r="C77" s="179" t="s">
        <v>258</v>
      </c>
      <c r="D77" s="180" t="s">
        <v>42</v>
      </c>
      <c r="E77" s="181">
        <f>ROUND(E67*0.35,2)</f>
        <v>4.9000000000000004</v>
      </c>
      <c r="F77" s="26"/>
      <c r="G77" s="61"/>
      <c r="H77" s="26"/>
      <c r="I77" s="27"/>
      <c r="J77" s="27"/>
      <c r="K77" s="25"/>
      <c r="L77" s="25"/>
      <c r="M77" s="26"/>
      <c r="N77" s="27"/>
      <c r="O77" s="28"/>
      <c r="P77" s="29"/>
      <c r="Q77" s="195"/>
      <c r="R77" s="195"/>
      <c r="S77" s="195"/>
      <c r="T77" s="90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02"/>
      <c r="BC77" s="102"/>
      <c r="BD77" s="102"/>
      <c r="BE77" s="102"/>
      <c r="BF77" s="102"/>
      <c r="BG77" s="102"/>
      <c r="BH77" s="102"/>
      <c r="BI77" s="102"/>
      <c r="BJ77" s="102"/>
      <c r="BK77" s="102"/>
      <c r="BL77" s="102"/>
      <c r="BM77" s="102"/>
      <c r="BN77" s="102"/>
    </row>
    <row r="78" spans="1:69" s="184" customFormat="1" ht="11.25" x14ac:dyDescent="0.15">
      <c r="A78" s="334"/>
      <c r="B78" s="186"/>
      <c r="C78" s="187" t="s">
        <v>656</v>
      </c>
      <c r="D78" s="180" t="s">
        <v>42</v>
      </c>
      <c r="E78" s="181">
        <f>ROUND(E77*1.1,2)</f>
        <v>5.39</v>
      </c>
      <c r="F78" s="26"/>
      <c r="G78" s="61"/>
      <c r="H78" s="26"/>
      <c r="I78" s="27"/>
      <c r="J78" s="27"/>
      <c r="K78" s="25"/>
      <c r="L78" s="25"/>
      <c r="M78" s="26"/>
      <c r="N78" s="27"/>
      <c r="O78" s="28"/>
      <c r="P78" s="29"/>
      <c r="Q78" s="195"/>
      <c r="R78" s="195"/>
      <c r="S78" s="195"/>
      <c r="T78" s="90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  <c r="BB78" s="102"/>
      <c r="BC78" s="102"/>
      <c r="BD78" s="102"/>
      <c r="BE78" s="102"/>
      <c r="BF78" s="102"/>
      <c r="BG78" s="102"/>
      <c r="BH78" s="102"/>
      <c r="BI78" s="102"/>
      <c r="BJ78" s="102"/>
      <c r="BK78" s="102"/>
      <c r="BL78" s="102"/>
      <c r="BM78" s="102"/>
      <c r="BN78" s="102"/>
    </row>
    <row r="79" spans="1:69" s="184" customFormat="1" ht="11.25" x14ac:dyDescent="0.15">
      <c r="A79" s="334"/>
      <c r="B79" s="186"/>
      <c r="C79" s="185" t="s">
        <v>245</v>
      </c>
      <c r="D79" s="180" t="s">
        <v>246</v>
      </c>
      <c r="E79" s="181">
        <f>ROUND(E78/8*1,2)</f>
        <v>0.67</v>
      </c>
      <c r="F79" s="26"/>
      <c r="G79" s="61"/>
      <c r="H79" s="26"/>
      <c r="I79" s="27"/>
      <c r="J79" s="27"/>
      <c r="K79" s="25"/>
      <c r="L79" s="25"/>
      <c r="M79" s="26"/>
      <c r="N79" s="27"/>
      <c r="O79" s="28"/>
      <c r="P79" s="29"/>
      <c r="Q79" s="195"/>
      <c r="R79" s="195"/>
      <c r="S79" s="195"/>
      <c r="T79" s="90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102"/>
      <c r="AY79" s="102"/>
      <c r="AZ79" s="102"/>
      <c r="BA79" s="102"/>
      <c r="BB79" s="102"/>
      <c r="BC79" s="102"/>
      <c r="BD79" s="102"/>
      <c r="BE79" s="102"/>
      <c r="BF79" s="102"/>
      <c r="BG79" s="102"/>
      <c r="BH79" s="102"/>
      <c r="BI79" s="102"/>
      <c r="BJ79" s="102"/>
      <c r="BK79" s="102"/>
      <c r="BL79" s="102"/>
      <c r="BM79" s="102"/>
      <c r="BN79" s="102"/>
    </row>
    <row r="80" spans="1:69" s="184" customFormat="1" ht="11.25" x14ac:dyDescent="0.15">
      <c r="A80" s="334"/>
      <c r="B80" s="186"/>
      <c r="C80" s="185" t="s">
        <v>247</v>
      </c>
      <c r="D80" s="180" t="s">
        <v>246</v>
      </c>
      <c r="E80" s="181">
        <f>ROUND(E78/8*2,2)</f>
        <v>1.35</v>
      </c>
      <c r="F80" s="26"/>
      <c r="G80" s="61"/>
      <c r="H80" s="26"/>
      <c r="I80" s="27"/>
      <c r="J80" s="27"/>
      <c r="K80" s="25"/>
      <c r="L80" s="25"/>
      <c r="M80" s="26"/>
      <c r="N80" s="27"/>
      <c r="O80" s="28"/>
      <c r="P80" s="29"/>
      <c r="Q80" s="195"/>
      <c r="R80" s="195"/>
      <c r="S80" s="195"/>
      <c r="T80" s="90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</row>
    <row r="81" spans="1:69" s="184" customFormat="1" ht="11.25" x14ac:dyDescent="0.15">
      <c r="A81" s="334"/>
      <c r="B81" s="186"/>
      <c r="C81" s="185" t="s">
        <v>252</v>
      </c>
      <c r="D81" s="180" t="s">
        <v>48</v>
      </c>
      <c r="E81" s="183">
        <f>E67</f>
        <v>14</v>
      </c>
      <c r="F81" s="26"/>
      <c r="G81" s="61"/>
      <c r="H81" s="26"/>
      <c r="I81" s="27"/>
      <c r="J81" s="27"/>
      <c r="K81" s="25"/>
      <c r="L81" s="25"/>
      <c r="M81" s="26"/>
      <c r="N81" s="27"/>
      <c r="O81" s="28"/>
      <c r="P81" s="29"/>
      <c r="Q81" s="195"/>
      <c r="R81" s="195"/>
      <c r="S81" s="195"/>
      <c r="T81" s="207"/>
      <c r="U81" s="207"/>
      <c r="V81" s="207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2"/>
      <c r="BA81" s="102"/>
      <c r="BB81" s="102"/>
      <c r="BC81" s="102"/>
      <c r="BD81" s="102"/>
      <c r="BE81" s="102"/>
      <c r="BF81" s="102"/>
      <c r="BG81" s="102"/>
      <c r="BH81" s="102"/>
      <c r="BI81" s="102"/>
      <c r="BJ81" s="102"/>
      <c r="BK81" s="102"/>
      <c r="BL81" s="102"/>
      <c r="BM81" s="102"/>
      <c r="BN81" s="102"/>
      <c r="BO81" s="102"/>
      <c r="BP81" s="102"/>
      <c r="BQ81" s="102"/>
    </row>
    <row r="82" spans="1:69" s="184" customFormat="1" ht="11.25" x14ac:dyDescent="0.15">
      <c r="A82" s="334" t="s">
        <v>564</v>
      </c>
      <c r="B82" s="182"/>
      <c r="C82" s="179" t="s">
        <v>260</v>
      </c>
      <c r="D82" s="180" t="s">
        <v>45</v>
      </c>
      <c r="E82" s="181">
        <f>E67*2</f>
        <v>28</v>
      </c>
      <c r="F82" s="26"/>
      <c r="G82" s="61"/>
      <c r="H82" s="26"/>
      <c r="I82" s="27"/>
      <c r="J82" s="27"/>
      <c r="K82" s="25"/>
      <c r="L82" s="25"/>
      <c r="M82" s="26"/>
      <c r="N82" s="27"/>
      <c r="O82" s="28"/>
      <c r="P82" s="29"/>
      <c r="Q82" s="195"/>
      <c r="R82" s="195"/>
      <c r="S82" s="195"/>
      <c r="T82" s="207"/>
      <c r="U82" s="207"/>
      <c r="V82" s="207"/>
      <c r="W82" s="90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102"/>
      <c r="AY82" s="102"/>
      <c r="AZ82" s="102"/>
      <c r="BA82" s="102"/>
      <c r="BB82" s="102"/>
      <c r="BC82" s="102"/>
      <c r="BD82" s="102"/>
      <c r="BE82" s="102"/>
      <c r="BF82" s="102"/>
      <c r="BG82" s="102"/>
      <c r="BH82" s="102"/>
      <c r="BI82" s="102"/>
      <c r="BJ82" s="102"/>
      <c r="BK82" s="102"/>
      <c r="BL82" s="102"/>
      <c r="BM82" s="102"/>
      <c r="BN82" s="102"/>
      <c r="BO82" s="102"/>
      <c r="BP82" s="102"/>
      <c r="BQ82" s="102"/>
    </row>
    <row r="83" spans="1:69" s="184" customFormat="1" ht="11.25" x14ac:dyDescent="0.15">
      <c r="A83" s="334"/>
      <c r="B83" s="186"/>
      <c r="C83" s="187" t="s">
        <v>261</v>
      </c>
      <c r="D83" s="180" t="s">
        <v>45</v>
      </c>
      <c r="E83" s="183">
        <f>E82</f>
        <v>28</v>
      </c>
      <c r="F83" s="26"/>
      <c r="G83" s="61"/>
      <c r="H83" s="26"/>
      <c r="I83" s="27"/>
      <c r="J83" s="27"/>
      <c r="K83" s="25"/>
      <c r="L83" s="25"/>
      <c r="M83" s="26"/>
      <c r="N83" s="27"/>
      <c r="O83" s="28"/>
      <c r="P83" s="29"/>
      <c r="Q83" s="195"/>
      <c r="R83" s="195"/>
      <c r="S83" s="195"/>
      <c r="T83" s="207"/>
      <c r="U83" s="207"/>
      <c r="V83" s="207"/>
      <c r="W83" s="90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102"/>
      <c r="BF83" s="102"/>
      <c r="BG83" s="102"/>
      <c r="BH83" s="102"/>
      <c r="BI83" s="102"/>
      <c r="BJ83" s="102"/>
      <c r="BK83" s="102"/>
      <c r="BL83" s="102"/>
      <c r="BM83" s="102"/>
      <c r="BN83" s="102"/>
      <c r="BO83" s="102"/>
      <c r="BP83" s="102"/>
      <c r="BQ83" s="102"/>
    </row>
    <row r="84" spans="1:69" s="184" customFormat="1" ht="11.25" x14ac:dyDescent="0.15">
      <c r="A84" s="334"/>
      <c r="B84" s="186"/>
      <c r="C84" s="188" t="s">
        <v>265</v>
      </c>
      <c r="D84" s="188" t="s">
        <v>45</v>
      </c>
      <c r="E84" s="189">
        <v>11</v>
      </c>
      <c r="F84" s="26"/>
      <c r="G84" s="61"/>
      <c r="H84" s="26"/>
      <c r="I84" s="27"/>
      <c r="J84" s="27"/>
      <c r="K84" s="25"/>
      <c r="L84" s="25"/>
      <c r="M84" s="26"/>
      <c r="N84" s="27"/>
      <c r="O84" s="28"/>
      <c r="P84" s="29"/>
      <c r="Q84" s="195"/>
      <c r="R84" s="195"/>
      <c r="S84" s="195"/>
      <c r="T84" s="90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02"/>
      <c r="BC84" s="102"/>
      <c r="BD84" s="102"/>
      <c r="BE84" s="102"/>
      <c r="BF84" s="102"/>
      <c r="BG84" s="102"/>
      <c r="BH84" s="102"/>
      <c r="BI84" s="102"/>
      <c r="BJ84" s="102"/>
      <c r="BK84" s="102"/>
      <c r="BL84" s="102"/>
      <c r="BM84" s="102"/>
      <c r="BN84" s="102"/>
    </row>
    <row r="85" spans="1:69" s="184" customFormat="1" ht="33.75" x14ac:dyDescent="0.15">
      <c r="A85" s="334" t="s">
        <v>565</v>
      </c>
      <c r="B85" s="182"/>
      <c r="C85" s="179" t="s">
        <v>255</v>
      </c>
      <c r="D85" s="180" t="s">
        <v>43</v>
      </c>
      <c r="E85" s="181">
        <f>ROUND(E84*1.69,2)</f>
        <v>18.59</v>
      </c>
      <c r="F85" s="26"/>
      <c r="G85" s="61"/>
      <c r="H85" s="26"/>
      <c r="I85" s="27"/>
      <c r="J85" s="27"/>
      <c r="K85" s="25"/>
      <c r="L85" s="25"/>
      <c r="M85" s="26"/>
      <c r="N85" s="27"/>
      <c r="O85" s="28"/>
      <c r="P85" s="29"/>
      <c r="Q85" s="195"/>
      <c r="R85" s="195"/>
      <c r="S85" s="195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102"/>
      <c r="AY85" s="102"/>
      <c r="AZ85" s="102"/>
      <c r="BA85" s="102"/>
      <c r="BB85" s="102"/>
      <c r="BC85" s="102"/>
      <c r="BD85" s="102"/>
      <c r="BE85" s="102"/>
      <c r="BF85" s="102"/>
      <c r="BG85" s="102"/>
      <c r="BH85" s="102"/>
      <c r="BI85" s="102"/>
      <c r="BJ85" s="102"/>
      <c r="BK85" s="102"/>
      <c r="BL85" s="102"/>
      <c r="BM85" s="102"/>
      <c r="BN85" s="102"/>
      <c r="BO85" s="102"/>
      <c r="BP85" s="102"/>
      <c r="BQ85" s="102"/>
    </row>
    <row r="86" spans="1:69" s="184" customFormat="1" ht="45" x14ac:dyDescent="0.15">
      <c r="A86" s="334" t="s">
        <v>566</v>
      </c>
      <c r="B86" s="182"/>
      <c r="C86" s="179" t="s">
        <v>256</v>
      </c>
      <c r="D86" s="180" t="s">
        <v>43</v>
      </c>
      <c r="E86" s="183">
        <f>1*E84</f>
        <v>11</v>
      </c>
      <c r="F86" s="26"/>
      <c r="G86" s="61"/>
      <c r="H86" s="26"/>
      <c r="I86" s="27"/>
      <c r="J86" s="27"/>
      <c r="K86" s="25"/>
      <c r="L86" s="25"/>
      <c r="M86" s="26"/>
      <c r="N86" s="27"/>
      <c r="O86" s="28"/>
      <c r="P86" s="29"/>
      <c r="Q86" s="195"/>
      <c r="R86" s="195"/>
      <c r="S86" s="195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102"/>
      <c r="AY86" s="102"/>
      <c r="AZ86" s="102"/>
      <c r="BA86" s="102"/>
      <c r="BB86" s="102"/>
      <c r="BC86" s="102"/>
      <c r="BD86" s="102"/>
      <c r="BE86" s="102"/>
      <c r="BF86" s="102"/>
      <c r="BG86" s="102"/>
      <c r="BH86" s="102"/>
      <c r="BI86" s="102"/>
      <c r="BJ86" s="102"/>
      <c r="BK86" s="102"/>
      <c r="BL86" s="102"/>
      <c r="BM86" s="102"/>
      <c r="BN86" s="102"/>
      <c r="BO86" s="102"/>
      <c r="BP86" s="102"/>
      <c r="BQ86" s="102"/>
    </row>
    <row r="87" spans="1:69" s="184" customFormat="1" ht="11.25" x14ac:dyDescent="0.15">
      <c r="A87" s="334"/>
      <c r="B87" s="176"/>
      <c r="C87" s="185" t="s">
        <v>267</v>
      </c>
      <c r="D87" s="180" t="s">
        <v>42</v>
      </c>
      <c r="E87" s="183">
        <f>ROUND(E86*0.15*1.2,2)</f>
        <v>1.98</v>
      </c>
      <c r="F87" s="26"/>
      <c r="G87" s="61"/>
      <c r="H87" s="26"/>
      <c r="I87" s="27"/>
      <c r="J87" s="27"/>
      <c r="K87" s="25"/>
      <c r="L87" s="25"/>
      <c r="M87" s="26"/>
      <c r="N87" s="27"/>
      <c r="O87" s="28"/>
      <c r="P87" s="29"/>
      <c r="Q87" s="195"/>
      <c r="R87" s="195"/>
      <c r="S87" s="195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  <c r="BC87" s="102"/>
      <c r="BD87" s="102"/>
      <c r="BE87" s="102"/>
      <c r="BF87" s="102"/>
      <c r="BG87" s="102"/>
      <c r="BH87" s="102"/>
      <c r="BI87" s="102"/>
      <c r="BJ87" s="102"/>
      <c r="BK87" s="102"/>
      <c r="BL87" s="102"/>
      <c r="BM87" s="102"/>
      <c r="BN87" s="102"/>
      <c r="BO87" s="102"/>
      <c r="BP87" s="102"/>
      <c r="BQ87" s="102"/>
    </row>
    <row r="88" spans="1:69" s="184" customFormat="1" ht="33.75" x14ac:dyDescent="0.15">
      <c r="A88" s="334" t="s">
        <v>737</v>
      </c>
      <c r="B88" s="186"/>
      <c r="C88" s="206" t="s">
        <v>274</v>
      </c>
      <c r="D88" s="180" t="s">
        <v>43</v>
      </c>
      <c r="E88" s="181">
        <f>E84*2.31</f>
        <v>25.41</v>
      </c>
      <c r="F88" s="119"/>
      <c r="G88" s="61"/>
      <c r="H88" s="26"/>
      <c r="I88" s="27"/>
      <c r="J88" s="27"/>
      <c r="K88" s="25"/>
      <c r="L88" s="25"/>
      <c r="M88" s="26"/>
      <c r="N88" s="27"/>
      <c r="O88" s="28"/>
      <c r="P88" s="29"/>
      <c r="Q88" s="195"/>
      <c r="R88" s="195"/>
      <c r="S88" s="195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  <c r="AY88" s="102"/>
      <c r="AZ88" s="102"/>
      <c r="BA88" s="102"/>
      <c r="BB88" s="102"/>
      <c r="BC88" s="102"/>
      <c r="BD88" s="102"/>
      <c r="BE88" s="102"/>
      <c r="BF88" s="102"/>
      <c r="BG88" s="102"/>
      <c r="BH88" s="102"/>
      <c r="BI88" s="102"/>
      <c r="BJ88" s="102"/>
      <c r="BK88" s="102"/>
      <c r="BL88" s="102"/>
      <c r="BM88" s="102"/>
      <c r="BN88" s="102"/>
      <c r="BO88" s="102"/>
      <c r="BP88" s="102"/>
      <c r="BQ88" s="102"/>
    </row>
    <row r="89" spans="1:69" s="184" customFormat="1" ht="22.5" x14ac:dyDescent="0.15">
      <c r="A89" s="334"/>
      <c r="B89" s="186"/>
      <c r="C89" s="185" t="s">
        <v>268</v>
      </c>
      <c r="D89" s="180" t="s">
        <v>43</v>
      </c>
      <c r="E89" s="183">
        <f>E88</f>
        <v>25.41</v>
      </c>
      <c r="F89" s="119"/>
      <c r="G89" s="61"/>
      <c r="H89" s="26"/>
      <c r="I89" s="27"/>
      <c r="J89" s="27"/>
      <c r="K89" s="25"/>
      <c r="L89" s="25"/>
      <c r="M89" s="26"/>
      <c r="N89" s="27"/>
      <c r="O89" s="28"/>
      <c r="P89" s="29"/>
      <c r="Q89" s="195"/>
      <c r="R89" s="195"/>
      <c r="S89" s="195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02"/>
      <c r="BC89" s="102"/>
      <c r="BD89" s="102"/>
      <c r="BE89" s="102"/>
      <c r="BF89" s="102"/>
      <c r="BG89" s="102"/>
      <c r="BH89" s="102"/>
      <c r="BI89" s="102"/>
      <c r="BJ89" s="102"/>
      <c r="BK89" s="102"/>
      <c r="BL89" s="102"/>
      <c r="BM89" s="102"/>
      <c r="BN89" s="102"/>
      <c r="BO89" s="102"/>
      <c r="BP89" s="102"/>
      <c r="BQ89" s="102"/>
    </row>
    <row r="90" spans="1:69" s="184" customFormat="1" ht="33.75" x14ac:dyDescent="0.15">
      <c r="A90" s="334"/>
      <c r="B90" s="182"/>
      <c r="C90" s="185" t="s">
        <v>269</v>
      </c>
      <c r="D90" s="180" t="s">
        <v>43</v>
      </c>
      <c r="E90" s="183">
        <f>E88</f>
        <v>25.41</v>
      </c>
      <c r="F90" s="119"/>
      <c r="G90" s="61"/>
      <c r="H90" s="26"/>
      <c r="I90" s="27"/>
      <c r="J90" s="27"/>
      <c r="K90" s="25"/>
      <c r="L90" s="25"/>
      <c r="M90" s="26"/>
      <c r="N90" s="27"/>
      <c r="O90" s="28"/>
      <c r="P90" s="29"/>
      <c r="Q90" s="195"/>
      <c r="R90" s="195"/>
      <c r="S90" s="195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102"/>
      <c r="AY90" s="102"/>
      <c r="AZ90" s="102"/>
      <c r="BA90" s="102"/>
      <c r="BB90" s="102"/>
      <c r="BC90" s="102"/>
      <c r="BD90" s="102"/>
      <c r="BE90" s="102"/>
      <c r="BF90" s="102"/>
      <c r="BG90" s="102"/>
      <c r="BH90" s="102"/>
      <c r="BI90" s="102"/>
      <c r="BJ90" s="102"/>
      <c r="BK90" s="102"/>
      <c r="BL90" s="102"/>
      <c r="BM90" s="102"/>
      <c r="BN90" s="102"/>
      <c r="BO90" s="102"/>
      <c r="BP90" s="102"/>
      <c r="BQ90" s="102"/>
    </row>
    <row r="91" spans="1:69" s="184" customFormat="1" ht="33.75" x14ac:dyDescent="0.15">
      <c r="A91" s="334" t="s">
        <v>738</v>
      </c>
      <c r="B91" s="176"/>
      <c r="C91" s="179" t="s">
        <v>257</v>
      </c>
      <c r="D91" s="180" t="s">
        <v>51</v>
      </c>
      <c r="E91" s="181">
        <f>E84*22.26*0.001</f>
        <v>0.24486000000000002</v>
      </c>
      <c r="F91" s="26"/>
      <c r="G91" s="61"/>
      <c r="H91" s="26"/>
      <c r="I91" s="27"/>
      <c r="J91" s="27"/>
      <c r="K91" s="25"/>
      <c r="L91" s="25"/>
      <c r="M91" s="26"/>
      <c r="N91" s="27"/>
      <c r="O91" s="28"/>
      <c r="P91" s="29"/>
      <c r="Q91" s="195"/>
      <c r="R91" s="195"/>
      <c r="S91" s="195"/>
      <c r="T91" s="90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102"/>
      <c r="AY91" s="102"/>
      <c r="AZ91" s="102"/>
      <c r="BA91" s="102"/>
      <c r="BB91" s="102"/>
      <c r="BC91" s="102"/>
      <c r="BD91" s="102"/>
      <c r="BE91" s="102"/>
      <c r="BF91" s="102"/>
      <c r="BG91" s="102"/>
      <c r="BH91" s="102"/>
      <c r="BI91" s="102"/>
      <c r="BJ91" s="102"/>
      <c r="BK91" s="102"/>
      <c r="BL91" s="102"/>
      <c r="BM91" s="102"/>
      <c r="BN91" s="102"/>
    </row>
    <row r="92" spans="1:69" s="184" customFormat="1" ht="22.5" x14ac:dyDescent="0.15">
      <c r="A92" s="334"/>
      <c r="B92" s="186"/>
      <c r="C92" s="185" t="s">
        <v>249</v>
      </c>
      <c r="D92" s="180" t="s">
        <v>51</v>
      </c>
      <c r="E92" s="183">
        <f>E91*1.15</f>
        <v>0.28158899999999998</v>
      </c>
      <c r="F92" s="26"/>
      <c r="G92" s="61"/>
      <c r="H92" s="26"/>
      <c r="I92" s="27"/>
      <c r="J92" s="27"/>
      <c r="K92" s="25"/>
      <c r="L92" s="25"/>
      <c r="M92" s="26"/>
      <c r="N92" s="27"/>
      <c r="O92" s="28"/>
      <c r="P92" s="29"/>
      <c r="Q92" s="195"/>
      <c r="R92" s="195"/>
      <c r="S92" s="195"/>
      <c r="T92" s="90"/>
      <c r="U92" s="102"/>
      <c r="V92" s="207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102"/>
      <c r="AY92" s="102"/>
      <c r="AZ92" s="102"/>
      <c r="BA92" s="102"/>
      <c r="BB92" s="102"/>
      <c r="BC92" s="102"/>
      <c r="BD92" s="102"/>
      <c r="BE92" s="102"/>
      <c r="BF92" s="102"/>
      <c r="BG92" s="102"/>
      <c r="BH92" s="102"/>
      <c r="BI92" s="102"/>
      <c r="BJ92" s="102"/>
      <c r="BK92" s="102"/>
      <c r="BL92" s="102"/>
      <c r="BM92" s="102"/>
      <c r="BN92" s="102"/>
    </row>
    <row r="93" spans="1:69" s="184" customFormat="1" ht="22.5" x14ac:dyDescent="0.15">
      <c r="A93" s="334"/>
      <c r="B93" s="182"/>
      <c r="C93" s="185" t="s">
        <v>250</v>
      </c>
      <c r="D93" s="180" t="s">
        <v>48</v>
      </c>
      <c r="E93" s="183">
        <v>1</v>
      </c>
      <c r="F93" s="26"/>
      <c r="G93" s="61"/>
      <c r="H93" s="26"/>
      <c r="I93" s="27"/>
      <c r="J93" s="27"/>
      <c r="K93" s="25"/>
      <c r="L93" s="25"/>
      <c r="M93" s="26"/>
      <c r="N93" s="27"/>
      <c r="O93" s="28"/>
      <c r="P93" s="29"/>
      <c r="Q93" s="195"/>
      <c r="R93" s="195"/>
      <c r="S93" s="195"/>
      <c r="T93" s="90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2"/>
      <c r="BE93" s="102"/>
      <c r="BF93" s="102"/>
      <c r="BG93" s="102"/>
      <c r="BH93" s="102"/>
      <c r="BI93" s="102"/>
      <c r="BJ93" s="102"/>
      <c r="BK93" s="102"/>
      <c r="BL93" s="102"/>
      <c r="BM93" s="102"/>
      <c r="BN93" s="102"/>
    </row>
    <row r="94" spans="1:69" s="184" customFormat="1" ht="22.5" x14ac:dyDescent="0.15">
      <c r="A94" s="334" t="s">
        <v>739</v>
      </c>
      <c r="B94" s="176"/>
      <c r="C94" s="179" t="s">
        <v>258</v>
      </c>
      <c r="D94" s="180" t="s">
        <v>42</v>
      </c>
      <c r="E94" s="181">
        <f>ROUND(E84*0.33,2)</f>
        <v>3.63</v>
      </c>
      <c r="F94" s="26"/>
      <c r="G94" s="61"/>
      <c r="H94" s="26"/>
      <c r="I94" s="27"/>
      <c r="J94" s="27"/>
      <c r="K94" s="25"/>
      <c r="L94" s="25"/>
      <c r="M94" s="26"/>
      <c r="N94" s="27"/>
      <c r="O94" s="28"/>
      <c r="P94" s="29"/>
      <c r="Q94" s="195"/>
      <c r="R94" s="195"/>
      <c r="S94" s="195"/>
      <c r="T94" s="90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</row>
    <row r="95" spans="1:69" s="184" customFormat="1" ht="11.25" x14ac:dyDescent="0.15">
      <c r="A95" s="334"/>
      <c r="B95" s="186"/>
      <c r="C95" s="187" t="s">
        <v>656</v>
      </c>
      <c r="D95" s="180" t="s">
        <v>42</v>
      </c>
      <c r="E95" s="181">
        <f>ROUND(E94*1.1,2)</f>
        <v>3.99</v>
      </c>
      <c r="F95" s="26"/>
      <c r="G95" s="61"/>
      <c r="H95" s="26"/>
      <c r="I95" s="27"/>
      <c r="J95" s="27"/>
      <c r="K95" s="25"/>
      <c r="L95" s="25"/>
      <c r="M95" s="26"/>
      <c r="N95" s="27"/>
      <c r="O95" s="28"/>
      <c r="P95" s="29"/>
      <c r="Q95" s="195"/>
      <c r="R95" s="195"/>
      <c r="S95" s="195"/>
      <c r="T95" s="90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102"/>
      <c r="AY95" s="102"/>
      <c r="AZ95" s="102"/>
      <c r="BA95" s="102"/>
      <c r="BB95" s="102"/>
      <c r="BC95" s="102"/>
      <c r="BD95" s="102"/>
      <c r="BE95" s="102"/>
      <c r="BF95" s="102"/>
      <c r="BG95" s="102"/>
      <c r="BH95" s="102"/>
      <c r="BI95" s="102"/>
      <c r="BJ95" s="102"/>
      <c r="BK95" s="102"/>
      <c r="BL95" s="102"/>
      <c r="BM95" s="102"/>
      <c r="BN95" s="102"/>
    </row>
    <row r="96" spans="1:69" s="184" customFormat="1" ht="11.25" x14ac:dyDescent="0.15">
      <c r="A96" s="334"/>
      <c r="B96" s="186"/>
      <c r="C96" s="185" t="s">
        <v>245</v>
      </c>
      <c r="D96" s="180" t="s">
        <v>246</v>
      </c>
      <c r="E96" s="181">
        <f>ROUND(E95/8*1,2)</f>
        <v>0.5</v>
      </c>
      <c r="F96" s="26"/>
      <c r="G96" s="61"/>
      <c r="H96" s="26"/>
      <c r="I96" s="27"/>
      <c r="J96" s="27"/>
      <c r="K96" s="25"/>
      <c r="L96" s="25"/>
      <c r="M96" s="26"/>
      <c r="N96" s="27"/>
      <c r="O96" s="28"/>
      <c r="P96" s="29"/>
      <c r="Q96" s="195"/>
      <c r="R96" s="195"/>
      <c r="S96" s="195"/>
      <c r="T96" s="90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2"/>
      <c r="BC96" s="102"/>
      <c r="BD96" s="102"/>
      <c r="BE96" s="102"/>
      <c r="BF96" s="102"/>
      <c r="BG96" s="102"/>
      <c r="BH96" s="102"/>
      <c r="BI96" s="102"/>
      <c r="BJ96" s="102"/>
      <c r="BK96" s="102"/>
      <c r="BL96" s="102"/>
      <c r="BM96" s="102"/>
      <c r="BN96" s="102"/>
    </row>
    <row r="97" spans="1:69" s="184" customFormat="1" ht="11.25" x14ac:dyDescent="0.15">
      <c r="A97" s="334"/>
      <c r="B97" s="186"/>
      <c r="C97" s="185" t="s">
        <v>247</v>
      </c>
      <c r="D97" s="180" t="s">
        <v>246</v>
      </c>
      <c r="E97" s="181">
        <f>ROUND(E95/8*2,2)</f>
        <v>1</v>
      </c>
      <c r="F97" s="26"/>
      <c r="G97" s="61"/>
      <c r="H97" s="26"/>
      <c r="I97" s="27"/>
      <c r="J97" s="27"/>
      <c r="K97" s="25"/>
      <c r="L97" s="25"/>
      <c r="M97" s="26"/>
      <c r="N97" s="27"/>
      <c r="O97" s="28"/>
      <c r="P97" s="29"/>
      <c r="Q97" s="195"/>
      <c r="R97" s="195"/>
      <c r="S97" s="195"/>
      <c r="T97" s="90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102"/>
      <c r="AY97" s="102"/>
      <c r="AZ97" s="102"/>
      <c r="BA97" s="102"/>
      <c r="BB97" s="102"/>
      <c r="BC97" s="102"/>
      <c r="BD97" s="102"/>
      <c r="BE97" s="102"/>
      <c r="BF97" s="102"/>
      <c r="BG97" s="102"/>
      <c r="BH97" s="102"/>
      <c r="BI97" s="102"/>
      <c r="BJ97" s="102"/>
      <c r="BK97" s="102"/>
      <c r="BL97" s="102"/>
      <c r="BM97" s="102"/>
      <c r="BN97" s="102"/>
    </row>
    <row r="98" spans="1:69" s="184" customFormat="1" ht="11.25" x14ac:dyDescent="0.15">
      <c r="A98" s="334"/>
      <c r="B98" s="186"/>
      <c r="C98" s="185" t="s">
        <v>252</v>
      </c>
      <c r="D98" s="180" t="s">
        <v>48</v>
      </c>
      <c r="E98" s="183">
        <f>E84</f>
        <v>11</v>
      </c>
      <c r="F98" s="26"/>
      <c r="G98" s="61"/>
      <c r="H98" s="26"/>
      <c r="I98" s="27"/>
      <c r="J98" s="27"/>
      <c r="K98" s="25"/>
      <c r="L98" s="25"/>
      <c r="M98" s="26"/>
      <c r="N98" s="27"/>
      <c r="O98" s="28"/>
      <c r="P98" s="29"/>
      <c r="Q98" s="195"/>
      <c r="R98" s="195"/>
      <c r="S98" s="195"/>
      <c r="T98" s="207"/>
      <c r="U98" s="207"/>
      <c r="V98" s="207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102"/>
      <c r="AY98" s="102"/>
      <c r="AZ98" s="102"/>
      <c r="BA98" s="102"/>
      <c r="BB98" s="102"/>
      <c r="BC98" s="102"/>
      <c r="BD98" s="102"/>
      <c r="BE98" s="102"/>
      <c r="BF98" s="102"/>
      <c r="BG98" s="102"/>
      <c r="BH98" s="102"/>
      <c r="BI98" s="102"/>
      <c r="BJ98" s="102"/>
      <c r="BK98" s="102"/>
      <c r="BL98" s="102"/>
      <c r="BM98" s="102"/>
      <c r="BN98" s="102"/>
      <c r="BO98" s="102"/>
      <c r="BP98" s="102"/>
      <c r="BQ98" s="102"/>
    </row>
    <row r="99" spans="1:69" s="184" customFormat="1" ht="11.25" x14ac:dyDescent="0.15">
      <c r="A99" s="334" t="s">
        <v>567</v>
      </c>
      <c r="B99" s="182"/>
      <c r="C99" s="179" t="s">
        <v>260</v>
      </c>
      <c r="D99" s="180" t="s">
        <v>45</v>
      </c>
      <c r="E99" s="181">
        <f>E84*2</f>
        <v>22</v>
      </c>
      <c r="F99" s="26"/>
      <c r="G99" s="61"/>
      <c r="H99" s="26"/>
      <c r="I99" s="27"/>
      <c r="J99" s="27"/>
      <c r="K99" s="25"/>
      <c r="L99" s="25"/>
      <c r="M99" s="26"/>
      <c r="N99" s="27"/>
      <c r="O99" s="28"/>
      <c r="P99" s="29"/>
      <c r="Q99" s="195"/>
      <c r="R99" s="195"/>
      <c r="S99" s="195"/>
      <c r="T99" s="207"/>
      <c r="U99" s="207"/>
      <c r="V99" s="207"/>
      <c r="W99" s="90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102"/>
      <c r="AY99" s="102"/>
      <c r="AZ99" s="102"/>
      <c r="BA99" s="102"/>
      <c r="BB99" s="102"/>
      <c r="BC99" s="102"/>
      <c r="BD99" s="102"/>
      <c r="BE99" s="102"/>
      <c r="BF99" s="102"/>
      <c r="BG99" s="102"/>
      <c r="BH99" s="102"/>
      <c r="BI99" s="102"/>
      <c r="BJ99" s="102"/>
      <c r="BK99" s="102"/>
      <c r="BL99" s="102"/>
      <c r="BM99" s="102"/>
      <c r="BN99" s="102"/>
      <c r="BO99" s="102"/>
      <c r="BP99" s="102"/>
      <c r="BQ99" s="102"/>
    </row>
    <row r="100" spans="1:69" s="184" customFormat="1" ht="11.25" x14ac:dyDescent="0.15">
      <c r="A100" s="334"/>
      <c r="B100" s="186"/>
      <c r="C100" s="187" t="s">
        <v>261</v>
      </c>
      <c r="D100" s="180" t="s">
        <v>45</v>
      </c>
      <c r="E100" s="183">
        <f>E99</f>
        <v>22</v>
      </c>
      <c r="F100" s="26"/>
      <c r="G100" s="61"/>
      <c r="H100" s="26"/>
      <c r="I100" s="27"/>
      <c r="J100" s="27"/>
      <c r="K100" s="25"/>
      <c r="L100" s="25"/>
      <c r="M100" s="26"/>
      <c r="N100" s="27"/>
      <c r="O100" s="28"/>
      <c r="P100" s="29"/>
      <c r="Q100" s="195"/>
      <c r="R100" s="195"/>
      <c r="S100" s="195"/>
      <c r="T100" s="207"/>
      <c r="U100" s="207"/>
      <c r="V100" s="207"/>
      <c r="W100" s="90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102"/>
      <c r="AY100" s="102"/>
      <c r="AZ100" s="102"/>
      <c r="BA100" s="102"/>
      <c r="BB100" s="102"/>
      <c r="BC100" s="102"/>
      <c r="BD100" s="102"/>
      <c r="BE100" s="102"/>
      <c r="BF100" s="102"/>
      <c r="BG100" s="102"/>
      <c r="BH100" s="102"/>
      <c r="BI100" s="102"/>
      <c r="BJ100" s="102"/>
      <c r="BK100" s="102"/>
      <c r="BL100" s="102"/>
      <c r="BM100" s="102"/>
      <c r="BN100" s="102"/>
      <c r="BO100" s="102"/>
      <c r="BP100" s="102"/>
      <c r="BQ100" s="102"/>
    </row>
    <row r="101" spans="1:69" s="184" customFormat="1" ht="11.25" x14ac:dyDescent="0.15">
      <c r="A101" s="334"/>
      <c r="B101" s="186"/>
      <c r="C101" s="188" t="s">
        <v>266</v>
      </c>
      <c r="D101" s="188" t="s">
        <v>45</v>
      </c>
      <c r="E101" s="189">
        <v>2</v>
      </c>
      <c r="F101" s="26"/>
      <c r="G101" s="61"/>
      <c r="H101" s="26"/>
      <c r="I101" s="27"/>
      <c r="J101" s="27"/>
      <c r="K101" s="25"/>
      <c r="L101" s="25"/>
      <c r="M101" s="26"/>
      <c r="N101" s="27"/>
      <c r="O101" s="28"/>
      <c r="P101" s="29"/>
      <c r="Q101" s="195"/>
      <c r="R101" s="195"/>
      <c r="S101" s="195"/>
      <c r="T101" s="90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102"/>
      <c r="AY101" s="102"/>
      <c r="AZ101" s="102"/>
      <c r="BA101" s="102"/>
      <c r="BB101" s="102"/>
      <c r="BC101" s="102"/>
      <c r="BD101" s="102"/>
      <c r="BE101" s="102"/>
      <c r="BF101" s="102"/>
      <c r="BG101" s="102"/>
      <c r="BH101" s="102"/>
      <c r="BI101" s="102"/>
      <c r="BJ101" s="102"/>
      <c r="BK101" s="102"/>
      <c r="BL101" s="102"/>
      <c r="BM101" s="102"/>
      <c r="BN101" s="102"/>
    </row>
    <row r="102" spans="1:69" s="184" customFormat="1" ht="33.75" x14ac:dyDescent="0.15">
      <c r="A102" s="334" t="s">
        <v>568</v>
      </c>
      <c r="B102" s="182"/>
      <c r="C102" s="179" t="s">
        <v>255</v>
      </c>
      <c r="D102" s="180" t="s">
        <v>43</v>
      </c>
      <c r="E102" s="181">
        <f>ROUND(E101*1.69,2)</f>
        <v>3.38</v>
      </c>
      <c r="F102" s="26"/>
      <c r="G102" s="61"/>
      <c r="H102" s="26"/>
      <c r="I102" s="27"/>
      <c r="J102" s="27"/>
      <c r="K102" s="25"/>
      <c r="L102" s="25"/>
      <c r="M102" s="26"/>
      <c r="N102" s="27"/>
      <c r="O102" s="28"/>
      <c r="P102" s="29"/>
      <c r="Q102" s="195"/>
      <c r="R102" s="195"/>
      <c r="S102" s="195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102"/>
      <c r="AY102" s="102"/>
      <c r="AZ102" s="102"/>
      <c r="BA102" s="102"/>
      <c r="BB102" s="102"/>
      <c r="BC102" s="102"/>
      <c r="BD102" s="102"/>
      <c r="BE102" s="102"/>
      <c r="BF102" s="102"/>
      <c r="BG102" s="102"/>
      <c r="BH102" s="102"/>
      <c r="BI102" s="102"/>
      <c r="BJ102" s="102"/>
      <c r="BK102" s="102"/>
      <c r="BL102" s="102"/>
      <c r="BM102" s="102"/>
      <c r="BN102" s="102"/>
      <c r="BO102" s="102"/>
      <c r="BP102" s="102"/>
      <c r="BQ102" s="102"/>
    </row>
    <row r="103" spans="1:69" s="184" customFormat="1" ht="45" x14ac:dyDescent="0.15">
      <c r="A103" s="334" t="s">
        <v>569</v>
      </c>
      <c r="B103" s="182"/>
      <c r="C103" s="179" t="s">
        <v>256</v>
      </c>
      <c r="D103" s="180" t="s">
        <v>43</v>
      </c>
      <c r="E103" s="183">
        <f>1*E101</f>
        <v>2</v>
      </c>
      <c r="F103" s="26"/>
      <c r="G103" s="61"/>
      <c r="H103" s="26"/>
      <c r="I103" s="27"/>
      <c r="J103" s="27"/>
      <c r="K103" s="25"/>
      <c r="L103" s="25"/>
      <c r="M103" s="26"/>
      <c r="N103" s="27"/>
      <c r="O103" s="28"/>
      <c r="P103" s="29"/>
      <c r="Q103" s="195"/>
      <c r="R103" s="195"/>
      <c r="S103" s="195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</row>
    <row r="104" spans="1:69" s="184" customFormat="1" ht="11.25" x14ac:dyDescent="0.15">
      <c r="A104" s="334"/>
      <c r="B104" s="176"/>
      <c r="C104" s="185" t="s">
        <v>267</v>
      </c>
      <c r="D104" s="180" t="s">
        <v>42</v>
      </c>
      <c r="E104" s="183">
        <f>ROUND(E103*0.15*1.2,2)</f>
        <v>0.36</v>
      </c>
      <c r="F104" s="26"/>
      <c r="G104" s="61"/>
      <c r="H104" s="26"/>
      <c r="I104" s="27"/>
      <c r="J104" s="27"/>
      <c r="K104" s="25"/>
      <c r="L104" s="25"/>
      <c r="M104" s="26"/>
      <c r="N104" s="27"/>
      <c r="O104" s="28"/>
      <c r="P104" s="29"/>
      <c r="Q104" s="195"/>
      <c r="R104" s="195"/>
      <c r="S104" s="195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102"/>
      <c r="AY104" s="102"/>
      <c r="AZ104" s="102"/>
      <c r="BA104" s="102"/>
      <c r="BB104" s="102"/>
      <c r="BC104" s="102"/>
      <c r="BD104" s="102"/>
      <c r="BE104" s="102"/>
      <c r="BF104" s="102"/>
      <c r="BG104" s="102"/>
      <c r="BH104" s="102"/>
      <c r="BI104" s="102"/>
      <c r="BJ104" s="102"/>
      <c r="BK104" s="102"/>
      <c r="BL104" s="102"/>
      <c r="BM104" s="102"/>
      <c r="BN104" s="102"/>
      <c r="BO104" s="102"/>
      <c r="BP104" s="102"/>
      <c r="BQ104" s="102"/>
    </row>
    <row r="105" spans="1:69" s="184" customFormat="1" ht="33.75" x14ac:dyDescent="0.15">
      <c r="A105" s="334" t="s">
        <v>740</v>
      </c>
      <c r="B105" s="186"/>
      <c r="C105" s="206" t="s">
        <v>274</v>
      </c>
      <c r="D105" s="180" t="s">
        <v>43</v>
      </c>
      <c r="E105" s="181">
        <f>E101*2.31</f>
        <v>4.62</v>
      </c>
      <c r="F105" s="119"/>
      <c r="G105" s="61"/>
      <c r="H105" s="26"/>
      <c r="I105" s="27"/>
      <c r="J105" s="27"/>
      <c r="K105" s="25"/>
      <c r="L105" s="25"/>
      <c r="M105" s="26"/>
      <c r="N105" s="27"/>
      <c r="O105" s="28"/>
      <c r="P105" s="29"/>
      <c r="Q105" s="195"/>
      <c r="R105" s="195"/>
      <c r="S105" s="195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102"/>
      <c r="AY105" s="102"/>
      <c r="AZ105" s="102"/>
      <c r="BA105" s="102"/>
      <c r="BB105" s="102"/>
      <c r="BC105" s="102"/>
      <c r="BD105" s="102"/>
      <c r="BE105" s="102"/>
      <c r="BF105" s="102"/>
      <c r="BG105" s="102"/>
      <c r="BH105" s="102"/>
      <c r="BI105" s="102"/>
      <c r="BJ105" s="102"/>
      <c r="BK105" s="102"/>
      <c r="BL105" s="102"/>
      <c r="BM105" s="102"/>
      <c r="BN105" s="102"/>
      <c r="BO105" s="102"/>
      <c r="BP105" s="102"/>
      <c r="BQ105" s="102"/>
    </row>
    <row r="106" spans="1:69" s="184" customFormat="1" ht="22.5" x14ac:dyDescent="0.15">
      <c r="A106" s="334"/>
      <c r="B106" s="186"/>
      <c r="C106" s="185" t="s">
        <v>268</v>
      </c>
      <c r="D106" s="180" t="s">
        <v>43</v>
      </c>
      <c r="E106" s="183">
        <f>E105</f>
        <v>4.62</v>
      </c>
      <c r="F106" s="119"/>
      <c r="G106" s="61"/>
      <c r="H106" s="26"/>
      <c r="I106" s="27"/>
      <c r="J106" s="27"/>
      <c r="K106" s="25"/>
      <c r="L106" s="25"/>
      <c r="M106" s="26"/>
      <c r="N106" s="27"/>
      <c r="O106" s="28"/>
      <c r="P106" s="29"/>
      <c r="Q106" s="195"/>
      <c r="R106" s="195"/>
      <c r="S106" s="195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102"/>
      <c r="AY106" s="102"/>
      <c r="AZ106" s="102"/>
      <c r="BA106" s="102"/>
      <c r="BB106" s="102"/>
      <c r="BC106" s="102"/>
      <c r="BD106" s="102"/>
      <c r="BE106" s="102"/>
      <c r="BF106" s="102"/>
      <c r="BG106" s="102"/>
      <c r="BH106" s="102"/>
      <c r="BI106" s="102"/>
      <c r="BJ106" s="102"/>
      <c r="BK106" s="102"/>
      <c r="BL106" s="102"/>
      <c r="BM106" s="102"/>
      <c r="BN106" s="102"/>
      <c r="BO106" s="102"/>
      <c r="BP106" s="102"/>
      <c r="BQ106" s="102"/>
    </row>
    <row r="107" spans="1:69" s="184" customFormat="1" ht="33.75" x14ac:dyDescent="0.15">
      <c r="A107" s="334"/>
      <c r="B107" s="182"/>
      <c r="C107" s="185" t="s">
        <v>269</v>
      </c>
      <c r="D107" s="180" t="s">
        <v>43</v>
      </c>
      <c r="E107" s="183">
        <f>E105</f>
        <v>4.62</v>
      </c>
      <c r="F107" s="119"/>
      <c r="G107" s="61"/>
      <c r="H107" s="26"/>
      <c r="I107" s="27"/>
      <c r="J107" s="27"/>
      <c r="K107" s="25"/>
      <c r="L107" s="25"/>
      <c r="M107" s="26"/>
      <c r="N107" s="27"/>
      <c r="O107" s="28"/>
      <c r="P107" s="29"/>
      <c r="Q107" s="195"/>
      <c r="R107" s="195"/>
      <c r="S107" s="195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102"/>
      <c r="AY107" s="102"/>
      <c r="AZ107" s="102"/>
      <c r="BA107" s="102"/>
      <c r="BB107" s="102"/>
      <c r="BC107" s="102"/>
      <c r="BD107" s="102"/>
      <c r="BE107" s="102"/>
      <c r="BF107" s="102"/>
      <c r="BG107" s="102"/>
      <c r="BH107" s="102"/>
      <c r="BI107" s="102"/>
      <c r="BJ107" s="102"/>
      <c r="BK107" s="102"/>
      <c r="BL107" s="102"/>
      <c r="BM107" s="102"/>
      <c r="BN107" s="102"/>
      <c r="BO107" s="102"/>
      <c r="BP107" s="102"/>
      <c r="BQ107" s="102"/>
    </row>
    <row r="108" spans="1:69" s="184" customFormat="1" ht="33.75" x14ac:dyDescent="0.15">
      <c r="A108" s="334" t="s">
        <v>570</v>
      </c>
      <c r="B108" s="176"/>
      <c r="C108" s="179" t="s">
        <v>257</v>
      </c>
      <c r="D108" s="180" t="s">
        <v>51</v>
      </c>
      <c r="E108" s="181">
        <f>E101*22.26*0.001</f>
        <v>4.4520000000000004E-2</v>
      </c>
      <c r="F108" s="26"/>
      <c r="G108" s="61"/>
      <c r="H108" s="26"/>
      <c r="I108" s="27"/>
      <c r="J108" s="27"/>
      <c r="K108" s="25"/>
      <c r="L108" s="25"/>
      <c r="M108" s="26"/>
      <c r="N108" s="27"/>
      <c r="O108" s="28"/>
      <c r="P108" s="29"/>
      <c r="Q108" s="195"/>
      <c r="R108" s="195"/>
      <c r="S108" s="195"/>
      <c r="T108" s="90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102"/>
      <c r="AY108" s="102"/>
      <c r="AZ108" s="102"/>
      <c r="BA108" s="102"/>
      <c r="BB108" s="102"/>
      <c r="BC108" s="102"/>
      <c r="BD108" s="102"/>
      <c r="BE108" s="102"/>
      <c r="BF108" s="102"/>
      <c r="BG108" s="102"/>
      <c r="BH108" s="102"/>
      <c r="BI108" s="102"/>
      <c r="BJ108" s="102"/>
      <c r="BK108" s="102"/>
      <c r="BL108" s="102"/>
      <c r="BM108" s="102"/>
      <c r="BN108" s="102"/>
    </row>
    <row r="109" spans="1:69" s="184" customFormat="1" ht="22.5" x14ac:dyDescent="0.15">
      <c r="A109" s="334"/>
      <c r="B109" s="186"/>
      <c r="C109" s="185" t="s">
        <v>249</v>
      </c>
      <c r="D109" s="180" t="s">
        <v>51</v>
      </c>
      <c r="E109" s="183">
        <f>E108*1.15</f>
        <v>5.1198E-2</v>
      </c>
      <c r="F109" s="26"/>
      <c r="G109" s="61"/>
      <c r="H109" s="26"/>
      <c r="I109" s="27"/>
      <c r="J109" s="27"/>
      <c r="K109" s="25"/>
      <c r="L109" s="25"/>
      <c r="M109" s="26"/>
      <c r="N109" s="27"/>
      <c r="O109" s="28"/>
      <c r="P109" s="29"/>
      <c r="Q109" s="195"/>
      <c r="R109" s="195"/>
      <c r="S109" s="195"/>
      <c r="T109" s="90"/>
      <c r="U109" s="102"/>
      <c r="V109" s="207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102"/>
      <c r="AY109" s="102"/>
      <c r="AZ109" s="102"/>
      <c r="BA109" s="102"/>
      <c r="BB109" s="102"/>
      <c r="BC109" s="102"/>
      <c r="BD109" s="102"/>
      <c r="BE109" s="102"/>
      <c r="BF109" s="102"/>
      <c r="BG109" s="102"/>
      <c r="BH109" s="102"/>
      <c r="BI109" s="102"/>
      <c r="BJ109" s="102"/>
      <c r="BK109" s="102"/>
      <c r="BL109" s="102"/>
      <c r="BM109" s="102"/>
      <c r="BN109" s="102"/>
    </row>
    <row r="110" spans="1:69" s="184" customFormat="1" ht="22.5" x14ac:dyDescent="0.15">
      <c r="A110" s="334"/>
      <c r="B110" s="182"/>
      <c r="C110" s="185" t="s">
        <v>250</v>
      </c>
      <c r="D110" s="180" t="s">
        <v>48</v>
      </c>
      <c r="E110" s="183">
        <v>1</v>
      </c>
      <c r="F110" s="26"/>
      <c r="G110" s="61"/>
      <c r="H110" s="26"/>
      <c r="I110" s="27"/>
      <c r="J110" s="27"/>
      <c r="K110" s="25"/>
      <c r="L110" s="25"/>
      <c r="M110" s="26"/>
      <c r="N110" s="27"/>
      <c r="O110" s="28"/>
      <c r="P110" s="29"/>
      <c r="Q110" s="195"/>
      <c r="R110" s="195"/>
      <c r="S110" s="195"/>
      <c r="T110" s="90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102"/>
      <c r="AY110" s="102"/>
      <c r="AZ110" s="102"/>
      <c r="BA110" s="102"/>
      <c r="BB110" s="102"/>
      <c r="BC110" s="102"/>
      <c r="BD110" s="102"/>
      <c r="BE110" s="102"/>
      <c r="BF110" s="102"/>
      <c r="BG110" s="102"/>
      <c r="BH110" s="102"/>
      <c r="BI110" s="102"/>
      <c r="BJ110" s="102"/>
      <c r="BK110" s="102"/>
      <c r="BL110" s="102"/>
      <c r="BM110" s="102"/>
      <c r="BN110" s="102"/>
    </row>
    <row r="111" spans="1:69" s="184" customFormat="1" ht="22.5" x14ac:dyDescent="0.15">
      <c r="A111" s="334" t="s">
        <v>543</v>
      </c>
      <c r="B111" s="176"/>
      <c r="C111" s="179" t="s">
        <v>258</v>
      </c>
      <c r="D111" s="180" t="s">
        <v>42</v>
      </c>
      <c r="E111" s="181">
        <f>ROUND(E101*0.33,2)</f>
        <v>0.66</v>
      </c>
      <c r="F111" s="26"/>
      <c r="G111" s="61"/>
      <c r="H111" s="26"/>
      <c r="I111" s="27"/>
      <c r="J111" s="27"/>
      <c r="K111" s="25"/>
      <c r="L111" s="25"/>
      <c r="M111" s="26"/>
      <c r="N111" s="27"/>
      <c r="O111" s="28"/>
      <c r="P111" s="29"/>
      <c r="Q111" s="195"/>
      <c r="R111" s="195"/>
      <c r="S111" s="195"/>
      <c r="T111" s="90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102"/>
      <c r="AY111" s="102"/>
      <c r="AZ111" s="102"/>
      <c r="BA111" s="102"/>
      <c r="BB111" s="102"/>
      <c r="BC111" s="102"/>
      <c r="BD111" s="102"/>
      <c r="BE111" s="102"/>
      <c r="BF111" s="102"/>
      <c r="BG111" s="102"/>
      <c r="BH111" s="102"/>
      <c r="BI111" s="102"/>
      <c r="BJ111" s="102"/>
      <c r="BK111" s="102"/>
      <c r="BL111" s="102"/>
      <c r="BM111" s="102"/>
      <c r="BN111" s="102"/>
    </row>
    <row r="112" spans="1:69" s="184" customFormat="1" ht="11.25" x14ac:dyDescent="0.15">
      <c r="A112" s="334"/>
      <c r="B112" s="186"/>
      <c r="C112" s="187" t="s">
        <v>656</v>
      </c>
      <c r="D112" s="180" t="s">
        <v>42</v>
      </c>
      <c r="E112" s="181">
        <f>ROUND(E111*1.1,2)</f>
        <v>0.73</v>
      </c>
      <c r="F112" s="26"/>
      <c r="G112" s="61"/>
      <c r="H112" s="26"/>
      <c r="I112" s="27"/>
      <c r="J112" s="27"/>
      <c r="K112" s="25"/>
      <c r="L112" s="25"/>
      <c r="M112" s="26"/>
      <c r="N112" s="27"/>
      <c r="O112" s="28"/>
      <c r="P112" s="29"/>
      <c r="Q112" s="195"/>
      <c r="R112" s="195"/>
      <c r="S112" s="195"/>
      <c r="T112" s="90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102"/>
      <c r="AY112" s="102"/>
      <c r="AZ112" s="102"/>
      <c r="BA112" s="102"/>
      <c r="BB112" s="102"/>
      <c r="BC112" s="102"/>
      <c r="BD112" s="102"/>
      <c r="BE112" s="102"/>
      <c r="BF112" s="102"/>
      <c r="BG112" s="102"/>
      <c r="BH112" s="102"/>
      <c r="BI112" s="102"/>
      <c r="BJ112" s="102"/>
      <c r="BK112" s="102"/>
      <c r="BL112" s="102"/>
      <c r="BM112" s="102"/>
      <c r="BN112" s="102"/>
    </row>
    <row r="113" spans="1:69" s="184" customFormat="1" ht="11.25" x14ac:dyDescent="0.15">
      <c r="A113" s="334"/>
      <c r="B113" s="186"/>
      <c r="C113" s="185" t="s">
        <v>245</v>
      </c>
      <c r="D113" s="180" t="s">
        <v>246</v>
      </c>
      <c r="E113" s="181">
        <f>ROUND(E112/8*1,2)</f>
        <v>0.09</v>
      </c>
      <c r="F113" s="26"/>
      <c r="G113" s="61"/>
      <c r="H113" s="26"/>
      <c r="I113" s="27"/>
      <c r="J113" s="27"/>
      <c r="K113" s="25"/>
      <c r="L113" s="25"/>
      <c r="M113" s="26"/>
      <c r="N113" s="27"/>
      <c r="O113" s="28"/>
      <c r="P113" s="29"/>
      <c r="Q113" s="195"/>
      <c r="R113" s="195"/>
      <c r="S113" s="195"/>
      <c r="T113" s="90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102"/>
      <c r="AY113" s="102"/>
      <c r="AZ113" s="102"/>
      <c r="BA113" s="102"/>
      <c r="BB113" s="102"/>
      <c r="BC113" s="102"/>
      <c r="BD113" s="102"/>
      <c r="BE113" s="102"/>
      <c r="BF113" s="102"/>
      <c r="BG113" s="102"/>
      <c r="BH113" s="102"/>
      <c r="BI113" s="102"/>
      <c r="BJ113" s="102"/>
      <c r="BK113" s="102"/>
      <c r="BL113" s="102"/>
      <c r="BM113" s="102"/>
      <c r="BN113" s="102"/>
    </row>
    <row r="114" spans="1:69" s="184" customFormat="1" ht="11.25" x14ac:dyDescent="0.15">
      <c r="A114" s="334"/>
      <c r="B114" s="186"/>
      <c r="C114" s="185" t="s">
        <v>247</v>
      </c>
      <c r="D114" s="180" t="s">
        <v>246</v>
      </c>
      <c r="E114" s="181">
        <f>ROUND(E112/8*2,2)</f>
        <v>0.18</v>
      </c>
      <c r="F114" s="26"/>
      <c r="G114" s="61"/>
      <c r="H114" s="26"/>
      <c r="I114" s="27"/>
      <c r="J114" s="27"/>
      <c r="K114" s="25"/>
      <c r="L114" s="25"/>
      <c r="M114" s="26"/>
      <c r="N114" s="27"/>
      <c r="O114" s="28"/>
      <c r="P114" s="29"/>
      <c r="Q114" s="195"/>
      <c r="R114" s="195"/>
      <c r="S114" s="195"/>
      <c r="T114" s="90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102"/>
      <c r="AY114" s="102"/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2"/>
      <c r="BJ114" s="102"/>
      <c r="BK114" s="102"/>
      <c r="BL114" s="102"/>
      <c r="BM114" s="102"/>
      <c r="BN114" s="102"/>
    </row>
    <row r="115" spans="1:69" s="184" customFormat="1" ht="11.25" x14ac:dyDescent="0.15">
      <c r="A115" s="334"/>
      <c r="B115" s="186"/>
      <c r="C115" s="185" t="s">
        <v>252</v>
      </c>
      <c r="D115" s="180" t="s">
        <v>48</v>
      </c>
      <c r="E115" s="183">
        <f>E101</f>
        <v>2</v>
      </c>
      <c r="F115" s="26"/>
      <c r="G115" s="61"/>
      <c r="H115" s="26"/>
      <c r="I115" s="27"/>
      <c r="J115" s="27"/>
      <c r="K115" s="25"/>
      <c r="L115" s="25"/>
      <c r="M115" s="26"/>
      <c r="N115" s="27"/>
      <c r="O115" s="28"/>
      <c r="P115" s="29"/>
      <c r="Q115" s="195"/>
      <c r="R115" s="195"/>
      <c r="S115" s="195"/>
      <c r="T115" s="207"/>
      <c r="U115" s="207"/>
      <c r="V115" s="207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102"/>
      <c r="AY115" s="102"/>
      <c r="AZ115" s="102"/>
      <c r="BA115" s="102"/>
      <c r="BB115" s="102"/>
      <c r="BC115" s="102"/>
      <c r="BD115" s="102"/>
      <c r="BE115" s="102"/>
      <c r="BF115" s="102"/>
      <c r="BG115" s="102"/>
      <c r="BH115" s="102"/>
      <c r="BI115" s="102"/>
      <c r="BJ115" s="102"/>
      <c r="BK115" s="102"/>
      <c r="BL115" s="102"/>
      <c r="BM115" s="102"/>
      <c r="BN115" s="102"/>
      <c r="BO115" s="102"/>
      <c r="BP115" s="102"/>
      <c r="BQ115" s="102"/>
    </row>
    <row r="116" spans="1:69" s="184" customFormat="1" ht="11.25" x14ac:dyDescent="0.15">
      <c r="A116" s="334" t="s">
        <v>571</v>
      </c>
      <c r="B116" s="182"/>
      <c r="C116" s="179" t="s">
        <v>260</v>
      </c>
      <c r="D116" s="180" t="s">
        <v>45</v>
      </c>
      <c r="E116" s="181">
        <f>E101*2</f>
        <v>4</v>
      </c>
      <c r="F116" s="26"/>
      <c r="G116" s="61"/>
      <c r="H116" s="26"/>
      <c r="I116" s="27"/>
      <c r="J116" s="27"/>
      <c r="K116" s="25"/>
      <c r="L116" s="25"/>
      <c r="M116" s="26"/>
      <c r="N116" s="27"/>
      <c r="O116" s="28"/>
      <c r="P116" s="29"/>
      <c r="Q116" s="195"/>
      <c r="R116" s="195"/>
      <c r="S116" s="195"/>
      <c r="T116" s="207"/>
      <c r="U116" s="207"/>
      <c r="V116" s="207"/>
      <c r="W116" s="90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102"/>
      <c r="AY116" s="102"/>
      <c r="AZ116" s="102"/>
      <c r="BA116" s="102"/>
      <c r="BB116" s="102"/>
      <c r="BC116" s="102"/>
      <c r="BD116" s="102"/>
      <c r="BE116" s="102"/>
      <c r="BF116" s="102"/>
      <c r="BG116" s="102"/>
      <c r="BH116" s="102"/>
      <c r="BI116" s="102"/>
      <c r="BJ116" s="102"/>
      <c r="BK116" s="102"/>
      <c r="BL116" s="102"/>
      <c r="BM116" s="102"/>
      <c r="BN116" s="102"/>
      <c r="BO116" s="102"/>
      <c r="BP116" s="102"/>
      <c r="BQ116" s="102"/>
    </row>
    <row r="117" spans="1:69" s="184" customFormat="1" ht="11.25" x14ac:dyDescent="0.15">
      <c r="A117" s="334"/>
      <c r="B117" s="186"/>
      <c r="C117" s="187" t="s">
        <v>261</v>
      </c>
      <c r="D117" s="180" t="s">
        <v>45</v>
      </c>
      <c r="E117" s="183">
        <f>E116</f>
        <v>4</v>
      </c>
      <c r="F117" s="26"/>
      <c r="G117" s="61"/>
      <c r="H117" s="26"/>
      <c r="I117" s="27"/>
      <c r="J117" s="27"/>
      <c r="K117" s="25"/>
      <c r="L117" s="25"/>
      <c r="M117" s="26"/>
      <c r="N117" s="27"/>
      <c r="O117" s="28"/>
      <c r="P117" s="29"/>
      <c r="Q117" s="195"/>
      <c r="R117" s="195"/>
      <c r="S117" s="195"/>
      <c r="T117" s="207"/>
      <c r="U117" s="207"/>
      <c r="V117" s="207"/>
      <c r="W117" s="90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102"/>
      <c r="AY117" s="102"/>
      <c r="AZ117" s="102"/>
      <c r="BA117" s="102"/>
      <c r="BB117" s="102"/>
      <c r="BC117" s="102"/>
      <c r="BD117" s="102"/>
      <c r="BE117" s="102"/>
      <c r="BF117" s="102"/>
      <c r="BG117" s="102"/>
      <c r="BH117" s="102"/>
      <c r="BI117" s="102"/>
      <c r="BJ117" s="102"/>
      <c r="BK117" s="102"/>
      <c r="BL117" s="102"/>
      <c r="BM117" s="102"/>
      <c r="BN117" s="102"/>
      <c r="BO117" s="102"/>
      <c r="BP117" s="102"/>
      <c r="BQ117" s="102"/>
    </row>
    <row r="118" spans="1:69" x14ac:dyDescent="0.2">
      <c r="A118" s="336"/>
      <c r="B118" s="133"/>
      <c r="C118" s="204" t="s">
        <v>275</v>
      </c>
      <c r="D118" s="178" t="s">
        <v>44</v>
      </c>
      <c r="E118" s="205">
        <v>34.200000000000003</v>
      </c>
      <c r="F118" s="119"/>
      <c r="G118" s="61"/>
      <c r="H118" s="26"/>
      <c r="I118" s="27"/>
      <c r="J118" s="27"/>
      <c r="K118" s="25"/>
      <c r="L118" s="25"/>
      <c r="M118" s="26"/>
      <c r="N118" s="27"/>
      <c r="O118" s="28"/>
      <c r="P118" s="29"/>
    </row>
    <row r="119" spans="1:69" ht="22.5" x14ac:dyDescent="0.2">
      <c r="A119" s="337">
        <v>37</v>
      </c>
      <c r="B119" s="133"/>
      <c r="C119" s="179" t="s">
        <v>270</v>
      </c>
      <c r="D119" s="180" t="s">
        <v>43</v>
      </c>
      <c r="E119" s="181">
        <v>24.2</v>
      </c>
      <c r="F119" s="119"/>
      <c r="G119" s="61"/>
      <c r="H119" s="26"/>
      <c r="I119" s="27"/>
      <c r="J119" s="27"/>
      <c r="K119" s="25"/>
      <c r="L119" s="25"/>
      <c r="M119" s="26"/>
      <c r="N119" s="27"/>
      <c r="O119" s="28"/>
      <c r="P119" s="29"/>
      <c r="T119" s="102"/>
      <c r="U119" s="102"/>
      <c r="V119" s="102"/>
    </row>
    <row r="120" spans="1:69" s="184" customFormat="1" ht="33.75" x14ac:dyDescent="0.15">
      <c r="A120" s="334" t="s">
        <v>741</v>
      </c>
      <c r="B120" s="182"/>
      <c r="C120" s="179" t="s">
        <v>271</v>
      </c>
      <c r="D120" s="180" t="s">
        <v>43</v>
      </c>
      <c r="E120" s="183">
        <v>13.77</v>
      </c>
      <c r="F120" s="26"/>
      <c r="G120" s="61"/>
      <c r="H120" s="26"/>
      <c r="I120" s="27"/>
      <c r="J120" s="27"/>
      <c r="K120" s="25"/>
      <c r="L120" s="25"/>
      <c r="M120" s="26"/>
      <c r="N120" s="27"/>
      <c r="O120" s="28"/>
      <c r="P120" s="29"/>
      <c r="Q120" s="195"/>
      <c r="R120" s="195"/>
      <c r="S120" s="195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102"/>
      <c r="AY120" s="102"/>
      <c r="AZ120" s="102"/>
      <c r="BA120" s="102"/>
      <c r="BB120" s="102"/>
      <c r="BC120" s="102"/>
      <c r="BD120" s="102"/>
      <c r="BE120" s="102"/>
      <c r="BF120" s="102"/>
      <c r="BG120" s="102"/>
      <c r="BH120" s="102"/>
      <c r="BI120" s="102"/>
      <c r="BJ120" s="102"/>
      <c r="BK120" s="102"/>
      <c r="BL120" s="102"/>
      <c r="BM120" s="102"/>
      <c r="BN120" s="102"/>
      <c r="BO120" s="102"/>
      <c r="BP120" s="102"/>
      <c r="BQ120" s="102"/>
    </row>
    <row r="121" spans="1:69" s="184" customFormat="1" ht="11.25" x14ac:dyDescent="0.15">
      <c r="A121" s="334"/>
      <c r="B121" s="176"/>
      <c r="C121" s="185" t="s">
        <v>267</v>
      </c>
      <c r="D121" s="180" t="s">
        <v>42</v>
      </c>
      <c r="E121" s="183">
        <f>ROUND(E120*0.15*1.2,2)</f>
        <v>2.48</v>
      </c>
      <c r="F121" s="26"/>
      <c r="G121" s="61"/>
      <c r="H121" s="26"/>
      <c r="I121" s="27"/>
      <c r="J121" s="27"/>
      <c r="K121" s="25"/>
      <c r="L121" s="25"/>
      <c r="M121" s="26"/>
      <c r="N121" s="27"/>
      <c r="O121" s="28"/>
      <c r="P121" s="29"/>
      <c r="Q121" s="195"/>
      <c r="R121" s="195"/>
      <c r="S121" s="195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102"/>
      <c r="AY121" s="102"/>
      <c r="AZ121" s="102"/>
      <c r="BA121" s="102"/>
      <c r="BB121" s="102"/>
      <c r="BC121" s="102"/>
      <c r="BD121" s="102"/>
      <c r="BE121" s="102"/>
      <c r="BF121" s="102"/>
      <c r="BG121" s="102"/>
      <c r="BH121" s="102"/>
      <c r="BI121" s="102"/>
      <c r="BJ121" s="102"/>
      <c r="BK121" s="102"/>
      <c r="BL121" s="102"/>
      <c r="BM121" s="102"/>
      <c r="BN121" s="102"/>
      <c r="BO121" s="102"/>
      <c r="BP121" s="102"/>
      <c r="BQ121" s="102"/>
    </row>
    <row r="122" spans="1:69" ht="33.75" x14ac:dyDescent="0.2">
      <c r="A122" s="337">
        <v>39</v>
      </c>
      <c r="B122" s="133"/>
      <c r="C122" s="206" t="s">
        <v>274</v>
      </c>
      <c r="D122" s="180" t="s">
        <v>43</v>
      </c>
      <c r="E122" s="181">
        <v>82.6</v>
      </c>
      <c r="F122" s="119"/>
      <c r="G122" s="61"/>
      <c r="H122" s="26"/>
      <c r="I122" s="27"/>
      <c r="J122" s="27"/>
      <c r="K122" s="25"/>
      <c r="L122" s="25"/>
      <c r="M122" s="26"/>
      <c r="N122" s="27"/>
      <c r="O122" s="28"/>
      <c r="P122" s="29"/>
    </row>
    <row r="123" spans="1:69" ht="22.5" x14ac:dyDescent="0.2">
      <c r="A123" s="336"/>
      <c r="B123" s="133"/>
      <c r="C123" s="185" t="s">
        <v>268</v>
      </c>
      <c r="D123" s="180" t="s">
        <v>43</v>
      </c>
      <c r="E123" s="183">
        <f>E122</f>
        <v>82.6</v>
      </c>
      <c r="F123" s="119"/>
      <c r="G123" s="61"/>
      <c r="H123" s="26"/>
      <c r="I123" s="27"/>
      <c r="J123" s="27"/>
      <c r="K123" s="25"/>
      <c r="L123" s="25"/>
      <c r="M123" s="26"/>
      <c r="N123" s="27"/>
      <c r="O123" s="28"/>
      <c r="P123" s="29"/>
    </row>
    <row r="124" spans="1:69" ht="33.75" x14ac:dyDescent="0.2">
      <c r="A124" s="336"/>
      <c r="B124" s="133"/>
      <c r="C124" s="185" t="s">
        <v>269</v>
      </c>
      <c r="D124" s="180" t="s">
        <v>43</v>
      </c>
      <c r="E124" s="183">
        <f>E122</f>
        <v>82.6</v>
      </c>
      <c r="F124" s="119"/>
      <c r="G124" s="61"/>
      <c r="H124" s="26"/>
      <c r="I124" s="27"/>
      <c r="J124" s="27"/>
      <c r="K124" s="25"/>
      <c r="L124" s="25"/>
      <c r="M124" s="26"/>
      <c r="N124" s="27"/>
      <c r="O124" s="28"/>
      <c r="P124" s="29"/>
    </row>
    <row r="125" spans="1:69" s="184" customFormat="1" ht="22.5" x14ac:dyDescent="0.15">
      <c r="A125" s="334" t="s">
        <v>572</v>
      </c>
      <c r="B125" s="176"/>
      <c r="C125" s="179" t="s">
        <v>272</v>
      </c>
      <c r="D125" s="180" t="s">
        <v>51</v>
      </c>
      <c r="E125" s="181">
        <v>0.48499999999999999</v>
      </c>
      <c r="F125" s="26"/>
      <c r="G125" s="61"/>
      <c r="H125" s="26"/>
      <c r="I125" s="27"/>
      <c r="J125" s="27"/>
      <c r="K125" s="25"/>
      <c r="L125" s="25"/>
      <c r="M125" s="26"/>
      <c r="N125" s="27"/>
      <c r="O125" s="28"/>
      <c r="P125" s="29"/>
      <c r="Q125" s="195"/>
      <c r="R125" s="195"/>
      <c r="S125" s="195"/>
      <c r="T125" s="90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102"/>
      <c r="AY125" s="102"/>
      <c r="AZ125" s="102"/>
      <c r="BA125" s="102"/>
      <c r="BB125" s="102"/>
      <c r="BC125" s="102"/>
      <c r="BD125" s="102"/>
      <c r="BE125" s="102"/>
      <c r="BF125" s="102"/>
      <c r="BG125" s="102"/>
      <c r="BH125" s="102"/>
      <c r="BI125" s="102"/>
      <c r="BJ125" s="102"/>
      <c r="BK125" s="102"/>
      <c r="BL125" s="102"/>
      <c r="BM125" s="102"/>
      <c r="BN125" s="102"/>
    </row>
    <row r="126" spans="1:69" s="184" customFormat="1" ht="22.5" x14ac:dyDescent="0.15">
      <c r="A126" s="334"/>
      <c r="B126" s="186"/>
      <c r="C126" s="185" t="s">
        <v>249</v>
      </c>
      <c r="D126" s="180" t="s">
        <v>51</v>
      </c>
      <c r="E126" s="183">
        <f>E125*1.15</f>
        <v>0.55774999999999997</v>
      </c>
      <c r="F126" s="26"/>
      <c r="G126" s="61"/>
      <c r="H126" s="26"/>
      <c r="I126" s="27"/>
      <c r="J126" s="27"/>
      <c r="K126" s="25"/>
      <c r="L126" s="25"/>
      <c r="M126" s="26"/>
      <c r="N126" s="27"/>
      <c r="O126" s="28"/>
      <c r="P126" s="29"/>
      <c r="Q126" s="195"/>
      <c r="R126" s="195"/>
      <c r="S126" s="195"/>
      <c r="T126" s="90"/>
      <c r="U126" s="102"/>
      <c r="V126" s="207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102"/>
      <c r="AY126" s="102"/>
      <c r="AZ126" s="102"/>
      <c r="BA126" s="102"/>
      <c r="BB126" s="102"/>
      <c r="BC126" s="102"/>
      <c r="BD126" s="102"/>
      <c r="BE126" s="102"/>
      <c r="BF126" s="102"/>
      <c r="BG126" s="102"/>
      <c r="BH126" s="102"/>
      <c r="BI126" s="102"/>
      <c r="BJ126" s="102"/>
      <c r="BK126" s="102"/>
      <c r="BL126" s="102"/>
      <c r="BM126" s="102"/>
      <c r="BN126" s="102"/>
    </row>
    <row r="127" spans="1:69" s="184" customFormat="1" ht="22.5" x14ac:dyDescent="0.15">
      <c r="A127" s="334"/>
      <c r="B127" s="182"/>
      <c r="C127" s="185" t="s">
        <v>250</v>
      </c>
      <c r="D127" s="180" t="s">
        <v>48</v>
      </c>
      <c r="E127" s="183">
        <v>1</v>
      </c>
      <c r="F127" s="26"/>
      <c r="G127" s="61"/>
      <c r="H127" s="26"/>
      <c r="I127" s="27"/>
      <c r="J127" s="27"/>
      <c r="K127" s="25"/>
      <c r="L127" s="25"/>
      <c r="M127" s="26"/>
      <c r="N127" s="27"/>
      <c r="O127" s="28"/>
      <c r="P127" s="29"/>
      <c r="Q127" s="195"/>
      <c r="R127" s="195"/>
      <c r="S127" s="195"/>
      <c r="T127" s="90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102"/>
      <c r="AY127" s="102"/>
      <c r="AZ127" s="102"/>
      <c r="BA127" s="102"/>
      <c r="BB127" s="102"/>
      <c r="BC127" s="102"/>
      <c r="BD127" s="102"/>
      <c r="BE127" s="102"/>
      <c r="BF127" s="102"/>
      <c r="BG127" s="102"/>
      <c r="BH127" s="102"/>
      <c r="BI127" s="102"/>
      <c r="BJ127" s="102"/>
      <c r="BK127" s="102"/>
      <c r="BL127" s="102"/>
      <c r="BM127" s="102"/>
      <c r="BN127" s="102"/>
    </row>
    <row r="128" spans="1:69" s="184" customFormat="1" ht="22.5" x14ac:dyDescent="0.15">
      <c r="A128" s="334" t="s">
        <v>573</v>
      </c>
      <c r="B128" s="176"/>
      <c r="C128" s="179" t="s">
        <v>273</v>
      </c>
      <c r="D128" s="180" t="s">
        <v>42</v>
      </c>
      <c r="E128" s="181">
        <v>8.2100000000000009</v>
      </c>
      <c r="F128" s="26"/>
      <c r="G128" s="61"/>
      <c r="H128" s="26"/>
      <c r="I128" s="27"/>
      <c r="J128" s="27"/>
      <c r="K128" s="25"/>
      <c r="L128" s="25"/>
      <c r="M128" s="26"/>
      <c r="N128" s="27"/>
      <c r="O128" s="28"/>
      <c r="P128" s="29"/>
      <c r="Q128" s="195"/>
      <c r="R128" s="195"/>
      <c r="S128" s="195"/>
      <c r="T128" s="90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102"/>
      <c r="AY128" s="102"/>
      <c r="AZ128" s="102"/>
      <c r="BA128" s="102"/>
      <c r="BB128" s="102"/>
      <c r="BC128" s="102"/>
      <c r="BD128" s="102"/>
      <c r="BE128" s="102"/>
      <c r="BF128" s="102"/>
      <c r="BG128" s="102"/>
      <c r="BH128" s="102"/>
      <c r="BI128" s="102"/>
      <c r="BJ128" s="102"/>
      <c r="BK128" s="102"/>
      <c r="BL128" s="102"/>
      <c r="BM128" s="102"/>
      <c r="BN128" s="102"/>
    </row>
    <row r="129" spans="1:69" s="184" customFormat="1" ht="11.25" x14ac:dyDescent="0.15">
      <c r="A129" s="334"/>
      <c r="B129" s="186"/>
      <c r="C129" s="187" t="s">
        <v>657</v>
      </c>
      <c r="D129" s="180" t="s">
        <v>42</v>
      </c>
      <c r="E129" s="181">
        <f>ROUND(E128*1.1,2)</f>
        <v>9.0299999999999994</v>
      </c>
      <c r="F129" s="26"/>
      <c r="G129" s="61"/>
      <c r="H129" s="26"/>
      <c r="I129" s="27"/>
      <c r="J129" s="27"/>
      <c r="K129" s="25"/>
      <c r="L129" s="25"/>
      <c r="M129" s="26"/>
      <c r="N129" s="27"/>
      <c r="O129" s="28"/>
      <c r="P129" s="29"/>
      <c r="Q129" s="195"/>
      <c r="R129" s="195"/>
      <c r="S129" s="195"/>
      <c r="T129" s="90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102"/>
      <c r="AY129" s="102"/>
      <c r="AZ129" s="102"/>
      <c r="BA129" s="102"/>
      <c r="BB129" s="102"/>
      <c r="BC129" s="102"/>
      <c r="BD129" s="102"/>
      <c r="BE129" s="102"/>
      <c r="BF129" s="102"/>
      <c r="BG129" s="102"/>
      <c r="BH129" s="102"/>
      <c r="BI129" s="102"/>
      <c r="BJ129" s="102"/>
      <c r="BK129" s="102"/>
      <c r="BL129" s="102"/>
      <c r="BM129" s="102"/>
      <c r="BN129" s="102"/>
    </row>
    <row r="130" spans="1:69" s="184" customFormat="1" ht="11.25" x14ac:dyDescent="0.15">
      <c r="A130" s="334"/>
      <c r="B130" s="186"/>
      <c r="C130" s="185" t="s">
        <v>245</v>
      </c>
      <c r="D130" s="180" t="s">
        <v>246</v>
      </c>
      <c r="E130" s="181">
        <f>ROUND(E129/8*1,2)</f>
        <v>1.1299999999999999</v>
      </c>
      <c r="F130" s="26"/>
      <c r="G130" s="61"/>
      <c r="H130" s="26"/>
      <c r="I130" s="27"/>
      <c r="J130" s="27"/>
      <c r="K130" s="25"/>
      <c r="L130" s="25"/>
      <c r="M130" s="26"/>
      <c r="N130" s="27"/>
      <c r="O130" s="28"/>
      <c r="P130" s="29"/>
      <c r="Q130" s="195"/>
      <c r="R130" s="195"/>
      <c r="S130" s="195"/>
      <c r="T130" s="90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102"/>
      <c r="AY130" s="102"/>
      <c r="AZ130" s="102"/>
      <c r="BA130" s="102"/>
      <c r="BB130" s="102"/>
      <c r="BC130" s="102"/>
      <c r="BD130" s="102"/>
      <c r="BE130" s="102"/>
      <c r="BF130" s="102"/>
      <c r="BG130" s="102"/>
      <c r="BH130" s="102"/>
      <c r="BI130" s="102"/>
      <c r="BJ130" s="102"/>
      <c r="BK130" s="102"/>
      <c r="BL130" s="102"/>
      <c r="BM130" s="102"/>
      <c r="BN130" s="102"/>
    </row>
    <row r="131" spans="1:69" s="184" customFormat="1" ht="11.25" x14ac:dyDescent="0.15">
      <c r="A131" s="334"/>
      <c r="B131" s="186"/>
      <c r="C131" s="185" t="s">
        <v>247</v>
      </c>
      <c r="D131" s="180" t="s">
        <v>246</v>
      </c>
      <c r="E131" s="181">
        <f>ROUND(E129/8*2,2)</f>
        <v>2.2599999999999998</v>
      </c>
      <c r="F131" s="26"/>
      <c r="G131" s="61"/>
      <c r="H131" s="26"/>
      <c r="I131" s="27"/>
      <c r="J131" s="27"/>
      <c r="K131" s="25"/>
      <c r="L131" s="25"/>
      <c r="M131" s="26"/>
      <c r="N131" s="27"/>
      <c r="O131" s="28"/>
      <c r="P131" s="29"/>
      <c r="Q131" s="195"/>
      <c r="R131" s="195"/>
      <c r="S131" s="195"/>
      <c r="T131" s="90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102"/>
      <c r="AY131" s="102"/>
      <c r="AZ131" s="102"/>
      <c r="BA131" s="102"/>
      <c r="BB131" s="102"/>
      <c r="BC131" s="102"/>
      <c r="BD131" s="102"/>
      <c r="BE131" s="102"/>
      <c r="BF131" s="102"/>
      <c r="BG131" s="102"/>
      <c r="BH131" s="102"/>
      <c r="BI131" s="102"/>
      <c r="BJ131" s="102"/>
      <c r="BK131" s="102"/>
      <c r="BL131" s="102"/>
      <c r="BM131" s="102"/>
      <c r="BN131" s="102"/>
    </row>
    <row r="132" spans="1:69" s="184" customFormat="1" ht="11.25" x14ac:dyDescent="0.15">
      <c r="A132" s="334"/>
      <c r="B132" s="186"/>
      <c r="C132" s="185" t="s">
        <v>252</v>
      </c>
      <c r="D132" s="180" t="s">
        <v>48</v>
      </c>
      <c r="E132" s="183">
        <v>1</v>
      </c>
      <c r="F132" s="26"/>
      <c r="G132" s="61"/>
      <c r="H132" s="26"/>
      <c r="I132" s="27"/>
      <c r="J132" s="27"/>
      <c r="K132" s="25"/>
      <c r="L132" s="25"/>
      <c r="M132" s="26"/>
      <c r="N132" s="27"/>
      <c r="O132" s="28"/>
      <c r="P132" s="29"/>
      <c r="Q132" s="195"/>
      <c r="R132" s="195"/>
      <c r="S132" s="195"/>
      <c r="T132" s="207"/>
      <c r="U132" s="207"/>
      <c r="V132" s="207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102"/>
      <c r="AY132" s="102"/>
      <c r="AZ132" s="102"/>
      <c r="BA132" s="102"/>
      <c r="BB132" s="102"/>
      <c r="BC132" s="102"/>
      <c r="BD132" s="102"/>
      <c r="BE132" s="102"/>
      <c r="BF132" s="102"/>
      <c r="BG132" s="102"/>
      <c r="BH132" s="102"/>
      <c r="BI132" s="102"/>
      <c r="BJ132" s="102"/>
      <c r="BK132" s="102"/>
      <c r="BL132" s="102"/>
      <c r="BM132" s="102"/>
      <c r="BN132" s="102"/>
      <c r="BO132" s="102"/>
      <c r="BP132" s="102"/>
      <c r="BQ132" s="102"/>
    </row>
    <row r="133" spans="1:69" x14ac:dyDescent="0.2">
      <c r="A133" s="336"/>
      <c r="B133" s="133"/>
      <c r="C133" s="204" t="s">
        <v>591</v>
      </c>
      <c r="D133" s="178"/>
      <c r="E133" s="205"/>
      <c r="F133" s="119"/>
      <c r="G133" s="61"/>
      <c r="H133" s="26"/>
      <c r="I133" s="27"/>
      <c r="J133" s="27"/>
      <c r="K133" s="25"/>
      <c r="L133" s="25"/>
      <c r="M133" s="26"/>
      <c r="N133" s="27"/>
      <c r="O133" s="28"/>
      <c r="P133" s="29"/>
    </row>
    <row r="134" spans="1:69" ht="22.5" x14ac:dyDescent="0.2">
      <c r="A134" s="337">
        <v>42</v>
      </c>
      <c r="B134" s="133"/>
      <c r="C134" s="179" t="s">
        <v>270</v>
      </c>
      <c r="D134" s="180" t="s">
        <v>43</v>
      </c>
      <c r="E134" s="181">
        <v>10.8</v>
      </c>
      <c r="F134" s="119"/>
      <c r="G134" s="61"/>
      <c r="H134" s="26"/>
      <c r="I134" s="27"/>
      <c r="J134" s="27"/>
      <c r="K134" s="25"/>
      <c r="L134" s="25"/>
      <c r="M134" s="26"/>
      <c r="N134" s="27"/>
      <c r="O134" s="28"/>
      <c r="P134" s="29"/>
      <c r="T134" s="102"/>
      <c r="U134" s="102"/>
      <c r="V134" s="102"/>
    </row>
    <row r="135" spans="1:69" s="184" customFormat="1" ht="33.75" x14ac:dyDescent="0.15">
      <c r="A135" s="334" t="s">
        <v>742</v>
      </c>
      <c r="B135" s="182"/>
      <c r="C135" s="179" t="s">
        <v>271</v>
      </c>
      <c r="D135" s="180" t="s">
        <v>43</v>
      </c>
      <c r="E135" s="183">
        <v>8.0500000000000007</v>
      </c>
      <c r="F135" s="26"/>
      <c r="G135" s="61"/>
      <c r="H135" s="26"/>
      <c r="I135" s="27"/>
      <c r="J135" s="27"/>
      <c r="K135" s="25"/>
      <c r="L135" s="25"/>
      <c r="M135" s="26"/>
      <c r="N135" s="27"/>
      <c r="O135" s="28"/>
      <c r="P135" s="29"/>
      <c r="Q135" s="195"/>
      <c r="R135" s="195"/>
      <c r="S135" s="195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102"/>
      <c r="AY135" s="102"/>
      <c r="AZ135" s="102"/>
      <c r="BA135" s="102"/>
      <c r="BB135" s="102"/>
      <c r="BC135" s="102"/>
      <c r="BD135" s="102"/>
      <c r="BE135" s="102"/>
      <c r="BF135" s="102"/>
      <c r="BG135" s="102"/>
      <c r="BH135" s="102"/>
      <c r="BI135" s="102"/>
      <c r="BJ135" s="102"/>
      <c r="BK135" s="102"/>
      <c r="BL135" s="102"/>
      <c r="BM135" s="102"/>
      <c r="BN135" s="102"/>
      <c r="BO135" s="102"/>
      <c r="BP135" s="102"/>
      <c r="BQ135" s="102"/>
    </row>
    <row r="136" spans="1:69" s="184" customFormat="1" ht="11.25" x14ac:dyDescent="0.15">
      <c r="A136" s="334"/>
      <c r="B136" s="176"/>
      <c r="C136" s="185" t="s">
        <v>267</v>
      </c>
      <c r="D136" s="180" t="s">
        <v>42</v>
      </c>
      <c r="E136" s="183">
        <f>ROUND(E135*0.15*1.2,2)</f>
        <v>1.45</v>
      </c>
      <c r="F136" s="26"/>
      <c r="G136" s="61"/>
      <c r="H136" s="26"/>
      <c r="I136" s="27"/>
      <c r="J136" s="27"/>
      <c r="K136" s="25"/>
      <c r="L136" s="25"/>
      <c r="M136" s="26"/>
      <c r="N136" s="27"/>
      <c r="O136" s="28"/>
      <c r="P136" s="29"/>
      <c r="Q136" s="195"/>
      <c r="R136" s="195"/>
      <c r="S136" s="195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102"/>
      <c r="AY136" s="102"/>
      <c r="AZ136" s="102"/>
      <c r="BA136" s="102"/>
      <c r="BB136" s="102"/>
      <c r="BC136" s="102"/>
      <c r="BD136" s="102"/>
      <c r="BE136" s="102"/>
      <c r="BF136" s="102"/>
      <c r="BG136" s="102"/>
      <c r="BH136" s="102"/>
      <c r="BI136" s="102"/>
      <c r="BJ136" s="102"/>
      <c r="BK136" s="102"/>
      <c r="BL136" s="102"/>
      <c r="BM136" s="102"/>
      <c r="BN136" s="102"/>
      <c r="BO136" s="102"/>
      <c r="BP136" s="102"/>
      <c r="BQ136" s="102"/>
    </row>
    <row r="137" spans="1:69" ht="33.75" x14ac:dyDescent="0.2">
      <c r="A137" s="337">
        <v>44</v>
      </c>
      <c r="B137" s="133"/>
      <c r="C137" s="206" t="s">
        <v>274</v>
      </c>
      <c r="D137" s="180" t="s">
        <v>43</v>
      </c>
      <c r="E137" s="181">
        <v>16</v>
      </c>
      <c r="F137" s="119"/>
      <c r="G137" s="61"/>
      <c r="H137" s="26"/>
      <c r="I137" s="27"/>
      <c r="J137" s="27"/>
      <c r="K137" s="25"/>
      <c r="L137" s="25"/>
      <c r="M137" s="26"/>
      <c r="N137" s="27"/>
      <c r="O137" s="28"/>
      <c r="P137" s="29"/>
    </row>
    <row r="138" spans="1:69" ht="22.5" x14ac:dyDescent="0.2">
      <c r="A138" s="336"/>
      <c r="B138" s="133"/>
      <c r="C138" s="185" t="s">
        <v>268</v>
      </c>
      <c r="D138" s="180" t="s">
        <v>43</v>
      </c>
      <c r="E138" s="183">
        <f>E137</f>
        <v>16</v>
      </c>
      <c r="F138" s="119"/>
      <c r="G138" s="61"/>
      <c r="H138" s="26"/>
      <c r="I138" s="27"/>
      <c r="J138" s="27"/>
      <c r="K138" s="25"/>
      <c r="L138" s="25"/>
      <c r="M138" s="26"/>
      <c r="N138" s="27"/>
      <c r="O138" s="28"/>
      <c r="P138" s="29"/>
    </row>
    <row r="139" spans="1:69" ht="33.75" x14ac:dyDescent="0.2">
      <c r="A139" s="336"/>
      <c r="B139" s="133"/>
      <c r="C139" s="185" t="s">
        <v>269</v>
      </c>
      <c r="D139" s="180" t="s">
        <v>43</v>
      </c>
      <c r="E139" s="183">
        <f>E137</f>
        <v>16</v>
      </c>
      <c r="F139" s="119"/>
      <c r="G139" s="61"/>
      <c r="H139" s="26"/>
      <c r="I139" s="27"/>
      <c r="J139" s="27"/>
      <c r="K139" s="25"/>
      <c r="L139" s="25"/>
      <c r="M139" s="26"/>
      <c r="N139" s="27"/>
      <c r="O139" s="28"/>
      <c r="P139" s="29"/>
    </row>
    <row r="140" spans="1:69" s="184" customFormat="1" ht="22.5" x14ac:dyDescent="0.15">
      <c r="A140" s="334" t="s">
        <v>574</v>
      </c>
      <c r="B140" s="176"/>
      <c r="C140" s="179" t="s">
        <v>658</v>
      </c>
      <c r="D140" s="180" t="s">
        <v>51</v>
      </c>
      <c r="E140" s="181">
        <v>0.496</v>
      </c>
      <c r="F140" s="26"/>
      <c r="G140" s="61"/>
      <c r="H140" s="26"/>
      <c r="I140" s="27"/>
      <c r="J140" s="27"/>
      <c r="K140" s="25"/>
      <c r="L140" s="25"/>
      <c r="M140" s="26"/>
      <c r="N140" s="27"/>
      <c r="O140" s="28"/>
      <c r="P140" s="29"/>
      <c r="Q140" s="195"/>
      <c r="R140" s="195"/>
      <c r="S140" s="195"/>
      <c r="T140" s="90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102"/>
      <c r="AY140" s="102"/>
      <c r="AZ140" s="102"/>
      <c r="BA140" s="102"/>
      <c r="BB140" s="102"/>
      <c r="BC140" s="102"/>
      <c r="BD140" s="102"/>
      <c r="BE140" s="102"/>
      <c r="BF140" s="102"/>
      <c r="BG140" s="102"/>
      <c r="BH140" s="102"/>
      <c r="BI140" s="102"/>
      <c r="BJ140" s="102"/>
      <c r="BK140" s="102"/>
      <c r="BL140" s="102"/>
      <c r="BM140" s="102"/>
      <c r="BN140" s="102"/>
    </row>
    <row r="141" spans="1:69" s="184" customFormat="1" ht="22.5" x14ac:dyDescent="0.15">
      <c r="A141" s="334"/>
      <c r="B141" s="186"/>
      <c r="C141" s="185" t="s">
        <v>249</v>
      </c>
      <c r="D141" s="180" t="s">
        <v>51</v>
      </c>
      <c r="E141" s="183">
        <f>E140*1.15</f>
        <v>0.57039999999999991</v>
      </c>
      <c r="F141" s="26"/>
      <c r="G141" s="61"/>
      <c r="H141" s="26"/>
      <c r="I141" s="27"/>
      <c r="J141" s="27"/>
      <c r="K141" s="25"/>
      <c r="L141" s="25"/>
      <c r="M141" s="26"/>
      <c r="N141" s="27"/>
      <c r="O141" s="28"/>
      <c r="P141" s="29"/>
      <c r="Q141" s="195"/>
      <c r="R141" s="195"/>
      <c r="S141" s="195"/>
      <c r="T141" s="90"/>
      <c r="U141" s="102"/>
      <c r="V141" s="207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102"/>
      <c r="AY141" s="102"/>
      <c r="AZ141" s="102"/>
      <c r="BA141" s="102"/>
      <c r="BB141" s="102"/>
      <c r="BC141" s="102"/>
      <c r="BD141" s="102"/>
      <c r="BE141" s="102"/>
      <c r="BF141" s="102"/>
      <c r="BG141" s="102"/>
      <c r="BH141" s="102"/>
      <c r="BI141" s="102"/>
      <c r="BJ141" s="102"/>
      <c r="BK141" s="102"/>
      <c r="BL141" s="102"/>
      <c r="BM141" s="102"/>
      <c r="BN141" s="102"/>
    </row>
    <row r="142" spans="1:69" s="184" customFormat="1" ht="22.5" x14ac:dyDescent="0.15">
      <c r="A142" s="334"/>
      <c r="B142" s="182"/>
      <c r="C142" s="185" t="s">
        <v>250</v>
      </c>
      <c r="D142" s="180" t="s">
        <v>48</v>
      </c>
      <c r="E142" s="183">
        <v>1</v>
      </c>
      <c r="F142" s="26"/>
      <c r="G142" s="61"/>
      <c r="H142" s="26"/>
      <c r="I142" s="27"/>
      <c r="J142" s="27"/>
      <c r="K142" s="25"/>
      <c r="L142" s="25"/>
      <c r="M142" s="26"/>
      <c r="N142" s="27"/>
      <c r="O142" s="28"/>
      <c r="P142" s="29"/>
      <c r="Q142" s="195"/>
      <c r="R142" s="195"/>
      <c r="S142" s="195"/>
      <c r="T142" s="90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102"/>
      <c r="AY142" s="102"/>
      <c r="AZ142" s="102"/>
      <c r="BA142" s="102"/>
      <c r="BB142" s="102"/>
      <c r="BC142" s="102"/>
      <c r="BD142" s="102"/>
      <c r="BE142" s="102"/>
      <c r="BF142" s="102"/>
      <c r="BG142" s="102"/>
      <c r="BH142" s="102"/>
      <c r="BI142" s="102"/>
      <c r="BJ142" s="102"/>
      <c r="BK142" s="102"/>
      <c r="BL142" s="102"/>
      <c r="BM142" s="102"/>
      <c r="BN142" s="102"/>
    </row>
    <row r="143" spans="1:69" s="184" customFormat="1" ht="22.5" x14ac:dyDescent="0.15">
      <c r="A143" s="334" t="s">
        <v>575</v>
      </c>
      <c r="B143" s="176"/>
      <c r="C143" s="179" t="s">
        <v>659</v>
      </c>
      <c r="D143" s="180" t="s">
        <v>42</v>
      </c>
      <c r="E143" s="181">
        <v>3.25</v>
      </c>
      <c r="F143" s="26"/>
      <c r="G143" s="61"/>
      <c r="H143" s="26"/>
      <c r="I143" s="27"/>
      <c r="J143" s="27"/>
      <c r="K143" s="25"/>
      <c r="L143" s="25"/>
      <c r="M143" s="26"/>
      <c r="N143" s="27"/>
      <c r="O143" s="28"/>
      <c r="P143" s="29"/>
      <c r="Q143" s="195"/>
      <c r="R143" s="195"/>
      <c r="S143" s="195"/>
      <c r="T143" s="90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102"/>
      <c r="AY143" s="102"/>
      <c r="AZ143" s="102"/>
      <c r="BA143" s="102"/>
      <c r="BB143" s="102"/>
      <c r="BC143" s="102"/>
      <c r="BD143" s="102"/>
      <c r="BE143" s="102"/>
      <c r="BF143" s="102"/>
      <c r="BG143" s="102"/>
      <c r="BH143" s="102"/>
      <c r="BI143" s="102"/>
      <c r="BJ143" s="102"/>
      <c r="BK143" s="102"/>
      <c r="BL143" s="102"/>
      <c r="BM143" s="102"/>
      <c r="BN143" s="102"/>
    </row>
    <row r="144" spans="1:69" s="184" customFormat="1" ht="11.25" x14ac:dyDescent="0.15">
      <c r="A144" s="334"/>
      <c r="B144" s="186"/>
      <c r="C144" s="187" t="s">
        <v>656</v>
      </c>
      <c r="D144" s="180" t="s">
        <v>42</v>
      </c>
      <c r="E144" s="181">
        <f>ROUND(E143*1.1,2)</f>
        <v>3.58</v>
      </c>
      <c r="F144" s="26"/>
      <c r="G144" s="61"/>
      <c r="H144" s="26"/>
      <c r="I144" s="27"/>
      <c r="J144" s="27"/>
      <c r="K144" s="25"/>
      <c r="L144" s="25"/>
      <c r="M144" s="26"/>
      <c r="N144" s="27"/>
      <c r="O144" s="28"/>
      <c r="P144" s="29"/>
      <c r="Q144" s="195"/>
      <c r="R144" s="195"/>
      <c r="S144" s="195"/>
      <c r="T144" s="90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102"/>
      <c r="AY144" s="102"/>
      <c r="AZ144" s="102"/>
      <c r="BA144" s="102"/>
      <c r="BB144" s="102"/>
      <c r="BC144" s="102"/>
      <c r="BD144" s="102"/>
      <c r="BE144" s="102"/>
      <c r="BF144" s="102"/>
      <c r="BG144" s="102"/>
      <c r="BH144" s="102"/>
      <c r="BI144" s="102"/>
      <c r="BJ144" s="102"/>
      <c r="BK144" s="102"/>
      <c r="BL144" s="102"/>
      <c r="BM144" s="102"/>
      <c r="BN144" s="102"/>
    </row>
    <row r="145" spans="1:69" s="184" customFormat="1" ht="11.25" x14ac:dyDescent="0.15">
      <c r="A145" s="334"/>
      <c r="B145" s="186"/>
      <c r="C145" s="185" t="s">
        <v>245</v>
      </c>
      <c r="D145" s="180" t="s">
        <v>246</v>
      </c>
      <c r="E145" s="181">
        <f>ROUND(E144/8*1,2)</f>
        <v>0.45</v>
      </c>
      <c r="F145" s="26"/>
      <c r="G145" s="61"/>
      <c r="H145" s="26"/>
      <c r="I145" s="27"/>
      <c r="J145" s="27"/>
      <c r="K145" s="25"/>
      <c r="L145" s="25"/>
      <c r="M145" s="26"/>
      <c r="N145" s="27"/>
      <c r="O145" s="28"/>
      <c r="P145" s="29"/>
      <c r="Q145" s="195"/>
      <c r="R145" s="195"/>
      <c r="S145" s="195"/>
      <c r="T145" s="90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102"/>
      <c r="AY145" s="102"/>
      <c r="AZ145" s="102"/>
      <c r="BA145" s="102"/>
      <c r="BB145" s="102"/>
      <c r="BC145" s="102"/>
      <c r="BD145" s="102"/>
      <c r="BE145" s="102"/>
      <c r="BF145" s="102"/>
      <c r="BG145" s="102"/>
      <c r="BH145" s="102"/>
      <c r="BI145" s="102"/>
      <c r="BJ145" s="102"/>
      <c r="BK145" s="102"/>
      <c r="BL145" s="102"/>
      <c r="BM145" s="102"/>
      <c r="BN145" s="102"/>
    </row>
    <row r="146" spans="1:69" s="184" customFormat="1" ht="11.25" x14ac:dyDescent="0.15">
      <c r="A146" s="334"/>
      <c r="B146" s="186"/>
      <c r="C146" s="185" t="s">
        <v>247</v>
      </c>
      <c r="D146" s="180" t="s">
        <v>246</v>
      </c>
      <c r="E146" s="181">
        <f>ROUND(E144/8*2,2)</f>
        <v>0.9</v>
      </c>
      <c r="F146" s="26"/>
      <c r="G146" s="61"/>
      <c r="H146" s="26"/>
      <c r="I146" s="27"/>
      <c r="J146" s="27"/>
      <c r="K146" s="25"/>
      <c r="L146" s="25"/>
      <c r="M146" s="26"/>
      <c r="N146" s="27"/>
      <c r="O146" s="28"/>
      <c r="P146" s="29"/>
      <c r="Q146" s="195"/>
      <c r="R146" s="195"/>
      <c r="S146" s="195"/>
      <c r="T146" s="90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102"/>
      <c r="AY146" s="102"/>
      <c r="AZ146" s="102"/>
      <c r="BA146" s="102"/>
      <c r="BB146" s="102"/>
      <c r="BC146" s="102"/>
      <c r="BD146" s="102"/>
      <c r="BE146" s="102"/>
      <c r="BF146" s="102"/>
      <c r="BG146" s="102"/>
      <c r="BH146" s="102"/>
      <c r="BI146" s="102"/>
      <c r="BJ146" s="102"/>
      <c r="BK146" s="102"/>
      <c r="BL146" s="102"/>
      <c r="BM146" s="102"/>
      <c r="BN146" s="102"/>
    </row>
    <row r="147" spans="1:69" s="184" customFormat="1" ht="11.25" x14ac:dyDescent="0.15">
      <c r="A147" s="334"/>
      <c r="B147" s="186"/>
      <c r="C147" s="185" t="s">
        <v>252</v>
      </c>
      <c r="D147" s="180" t="s">
        <v>48</v>
      </c>
      <c r="E147" s="183">
        <v>1</v>
      </c>
      <c r="F147" s="26"/>
      <c r="G147" s="61"/>
      <c r="H147" s="26"/>
      <c r="I147" s="27"/>
      <c r="J147" s="27"/>
      <c r="K147" s="25"/>
      <c r="L147" s="25"/>
      <c r="M147" s="26"/>
      <c r="N147" s="27"/>
      <c r="O147" s="28"/>
      <c r="P147" s="29"/>
      <c r="Q147" s="195"/>
      <c r="R147" s="195"/>
      <c r="S147" s="195"/>
      <c r="T147" s="207"/>
      <c r="U147" s="207"/>
      <c r="V147" s="207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102"/>
      <c r="AY147" s="102"/>
      <c r="AZ147" s="102"/>
      <c r="BA147" s="102"/>
      <c r="BB147" s="102"/>
      <c r="BC147" s="102"/>
      <c r="BD147" s="102"/>
      <c r="BE147" s="102"/>
      <c r="BF147" s="102"/>
      <c r="BG147" s="102"/>
      <c r="BH147" s="102"/>
      <c r="BI147" s="102"/>
      <c r="BJ147" s="102"/>
      <c r="BK147" s="102"/>
      <c r="BL147" s="102"/>
      <c r="BM147" s="102"/>
      <c r="BN147" s="102"/>
      <c r="BO147" s="102"/>
      <c r="BP147" s="102"/>
      <c r="BQ147" s="102"/>
    </row>
    <row r="148" spans="1:69" x14ac:dyDescent="0.2">
      <c r="A148" s="336"/>
      <c r="B148" s="133"/>
      <c r="C148" s="204" t="s">
        <v>285</v>
      </c>
      <c r="D148" s="178" t="s">
        <v>43</v>
      </c>
      <c r="E148" s="205">
        <v>203.89999999999998</v>
      </c>
      <c r="F148" s="119"/>
      <c r="G148" s="61"/>
      <c r="H148" s="26"/>
      <c r="I148" s="27"/>
      <c r="J148" s="27"/>
      <c r="K148" s="25"/>
      <c r="L148" s="25"/>
      <c r="M148" s="26"/>
      <c r="N148" s="27"/>
      <c r="O148" s="28"/>
      <c r="P148" s="29"/>
    </row>
    <row r="149" spans="1:69" ht="22.5" x14ac:dyDescent="0.2">
      <c r="A149" s="337">
        <v>47</v>
      </c>
      <c r="B149" s="133"/>
      <c r="C149" s="179" t="s">
        <v>286</v>
      </c>
      <c r="D149" s="180" t="s">
        <v>43</v>
      </c>
      <c r="E149" s="181">
        <v>72.099999999999994</v>
      </c>
      <c r="F149" s="119"/>
      <c r="G149" s="61"/>
      <c r="H149" s="26"/>
      <c r="I149" s="27"/>
      <c r="J149" s="27"/>
      <c r="K149" s="25"/>
      <c r="L149" s="25"/>
      <c r="M149" s="26"/>
      <c r="N149" s="27"/>
      <c r="O149" s="28"/>
      <c r="P149" s="29"/>
      <c r="T149" s="102"/>
      <c r="U149" s="102"/>
      <c r="V149" s="102"/>
    </row>
    <row r="150" spans="1:69" s="184" customFormat="1" ht="33.75" x14ac:dyDescent="0.15">
      <c r="A150" s="334" t="s">
        <v>743</v>
      </c>
      <c r="B150" s="182"/>
      <c r="C150" s="179" t="s">
        <v>287</v>
      </c>
      <c r="D150" s="180" t="s">
        <v>43</v>
      </c>
      <c r="E150" s="183">
        <f>E149</f>
        <v>72.099999999999994</v>
      </c>
      <c r="F150" s="26"/>
      <c r="G150" s="61"/>
      <c r="H150" s="26"/>
      <c r="I150" s="27"/>
      <c r="J150" s="27"/>
      <c r="K150" s="25"/>
      <c r="L150" s="25"/>
      <c r="M150" s="26"/>
      <c r="N150" s="27"/>
      <c r="O150" s="28"/>
      <c r="P150" s="29"/>
      <c r="Q150" s="195"/>
      <c r="R150" s="195"/>
      <c r="S150" s="195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102"/>
      <c r="AY150" s="102"/>
      <c r="AZ150" s="102"/>
      <c r="BA150" s="102"/>
      <c r="BB150" s="102"/>
      <c r="BC150" s="102"/>
      <c r="BD150" s="102"/>
      <c r="BE150" s="102"/>
      <c r="BF150" s="102"/>
      <c r="BG150" s="102"/>
      <c r="BH150" s="102"/>
      <c r="BI150" s="102"/>
      <c r="BJ150" s="102"/>
      <c r="BK150" s="102"/>
      <c r="BL150" s="102"/>
      <c r="BM150" s="102"/>
      <c r="BN150" s="102"/>
      <c r="BO150" s="102"/>
      <c r="BP150" s="102"/>
      <c r="BQ150" s="102"/>
    </row>
    <row r="151" spans="1:69" s="184" customFormat="1" ht="11.25" x14ac:dyDescent="0.15">
      <c r="A151" s="334"/>
      <c r="B151" s="176"/>
      <c r="C151" s="185" t="s">
        <v>267</v>
      </c>
      <c r="D151" s="180" t="s">
        <v>42</v>
      </c>
      <c r="E151" s="183">
        <f>ROUND(E150*0.15*1.2,2)</f>
        <v>12.98</v>
      </c>
      <c r="F151" s="26"/>
      <c r="G151" s="61"/>
      <c r="H151" s="26"/>
      <c r="I151" s="27"/>
      <c r="J151" s="27"/>
      <c r="K151" s="25"/>
      <c r="L151" s="25"/>
      <c r="M151" s="26"/>
      <c r="N151" s="27"/>
      <c r="O151" s="28"/>
      <c r="P151" s="29"/>
      <c r="Q151" s="195"/>
      <c r="R151" s="195"/>
      <c r="S151" s="195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102"/>
      <c r="AY151" s="102"/>
      <c r="AZ151" s="102"/>
      <c r="BA151" s="102"/>
      <c r="BB151" s="102"/>
      <c r="BC151" s="102"/>
      <c r="BD151" s="102"/>
      <c r="BE151" s="102"/>
      <c r="BF151" s="102"/>
      <c r="BG151" s="102"/>
      <c r="BH151" s="102"/>
      <c r="BI151" s="102"/>
      <c r="BJ151" s="102"/>
      <c r="BK151" s="102"/>
      <c r="BL151" s="102"/>
      <c r="BM151" s="102"/>
      <c r="BN151" s="102"/>
      <c r="BO151" s="102"/>
      <c r="BP151" s="102"/>
      <c r="BQ151" s="102"/>
    </row>
    <row r="152" spans="1:69" ht="33.75" x14ac:dyDescent="0.2">
      <c r="A152" s="337">
        <v>49</v>
      </c>
      <c r="B152" s="133"/>
      <c r="C152" s="206" t="s">
        <v>288</v>
      </c>
      <c r="D152" s="180" t="s">
        <v>43</v>
      </c>
      <c r="E152" s="181">
        <f>ROUND(E148*1.2*2,1)</f>
        <v>489.4</v>
      </c>
      <c r="F152" s="119"/>
      <c r="G152" s="61"/>
      <c r="H152" s="26"/>
      <c r="I152" s="27"/>
      <c r="J152" s="27"/>
      <c r="K152" s="25"/>
      <c r="L152" s="25"/>
      <c r="M152" s="26"/>
      <c r="N152" s="27"/>
      <c r="O152" s="28"/>
      <c r="P152" s="29"/>
    </row>
    <row r="153" spans="1:69" ht="22.5" x14ac:dyDescent="0.2">
      <c r="A153" s="336"/>
      <c r="B153" s="133"/>
      <c r="C153" s="185" t="s">
        <v>268</v>
      </c>
      <c r="D153" s="180" t="s">
        <v>43</v>
      </c>
      <c r="E153" s="183">
        <f>E152</f>
        <v>489.4</v>
      </c>
      <c r="F153" s="119"/>
      <c r="G153" s="61"/>
      <c r="H153" s="26"/>
      <c r="I153" s="27"/>
      <c r="J153" s="27"/>
      <c r="K153" s="25"/>
      <c r="L153" s="25"/>
      <c r="M153" s="26"/>
      <c r="N153" s="27"/>
      <c r="O153" s="28"/>
      <c r="P153" s="29"/>
    </row>
    <row r="154" spans="1:69" ht="33.75" x14ac:dyDescent="0.2">
      <c r="A154" s="336"/>
      <c r="B154" s="133"/>
      <c r="C154" s="185" t="s">
        <v>269</v>
      </c>
      <c r="D154" s="180" t="s">
        <v>43</v>
      </c>
      <c r="E154" s="183">
        <f>E152</f>
        <v>489.4</v>
      </c>
      <c r="F154" s="119"/>
      <c r="G154" s="61"/>
      <c r="H154" s="26"/>
      <c r="I154" s="27"/>
      <c r="J154" s="27"/>
      <c r="K154" s="25"/>
      <c r="L154" s="25"/>
      <c r="M154" s="26"/>
      <c r="N154" s="27"/>
      <c r="O154" s="28"/>
      <c r="P154" s="29"/>
    </row>
    <row r="155" spans="1:69" s="184" customFormat="1" ht="22.5" x14ac:dyDescent="0.15">
      <c r="A155" s="284">
        <v>50</v>
      </c>
      <c r="B155" s="176"/>
      <c r="C155" s="179" t="s">
        <v>289</v>
      </c>
      <c r="D155" s="180" t="s">
        <v>51</v>
      </c>
      <c r="E155" s="181">
        <v>1.7110000000000001</v>
      </c>
      <c r="F155" s="26"/>
      <c r="G155" s="61"/>
      <c r="H155" s="26"/>
      <c r="I155" s="27"/>
      <c r="J155" s="27"/>
      <c r="K155" s="25"/>
      <c r="L155" s="25"/>
      <c r="M155" s="26"/>
      <c r="N155" s="27"/>
      <c r="O155" s="28"/>
      <c r="P155" s="29"/>
      <c r="Q155" s="195"/>
      <c r="R155" s="195"/>
      <c r="S155" s="195"/>
      <c r="T155" s="90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102"/>
      <c r="AY155" s="102"/>
      <c r="AZ155" s="102"/>
      <c r="BA155" s="102"/>
      <c r="BB155" s="102"/>
      <c r="BC155" s="102"/>
      <c r="BD155" s="102"/>
      <c r="BE155" s="102"/>
      <c r="BF155" s="102"/>
      <c r="BG155" s="102"/>
      <c r="BH155" s="102"/>
      <c r="BI155" s="102"/>
      <c r="BJ155" s="102"/>
      <c r="BK155" s="102"/>
      <c r="BL155" s="102"/>
      <c r="BM155" s="102"/>
      <c r="BN155" s="102"/>
    </row>
    <row r="156" spans="1:69" s="184" customFormat="1" ht="22.5" x14ac:dyDescent="0.15">
      <c r="A156" s="334"/>
      <c r="B156" s="186"/>
      <c r="C156" s="185" t="s">
        <v>249</v>
      </c>
      <c r="D156" s="180" t="s">
        <v>51</v>
      </c>
      <c r="E156" s="183">
        <f>E155*1.1</f>
        <v>1.8821000000000003</v>
      </c>
      <c r="F156" s="26"/>
      <c r="G156" s="61"/>
      <c r="H156" s="26"/>
      <c r="I156" s="27"/>
      <c r="J156" s="27"/>
      <c r="K156" s="25"/>
      <c r="L156" s="25"/>
      <c r="M156" s="26"/>
      <c r="N156" s="27"/>
      <c r="O156" s="28"/>
      <c r="P156" s="29"/>
      <c r="Q156" s="195"/>
      <c r="R156" s="195"/>
      <c r="S156" s="195"/>
      <c r="T156" s="90"/>
      <c r="U156" s="102"/>
      <c r="V156" s="207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102"/>
      <c r="AY156" s="102"/>
      <c r="AZ156" s="102"/>
      <c r="BA156" s="102"/>
      <c r="BB156" s="102"/>
      <c r="BC156" s="102"/>
      <c r="BD156" s="102"/>
      <c r="BE156" s="102"/>
      <c r="BF156" s="102"/>
      <c r="BG156" s="102"/>
      <c r="BH156" s="102"/>
      <c r="BI156" s="102"/>
      <c r="BJ156" s="102"/>
      <c r="BK156" s="102"/>
      <c r="BL156" s="102"/>
      <c r="BM156" s="102"/>
      <c r="BN156" s="102"/>
    </row>
    <row r="157" spans="1:69" s="184" customFormat="1" ht="22.5" x14ac:dyDescent="0.15">
      <c r="A157" s="334"/>
      <c r="B157" s="182"/>
      <c r="C157" s="185" t="s">
        <v>250</v>
      </c>
      <c r="D157" s="180" t="s">
        <v>48</v>
      </c>
      <c r="E157" s="183">
        <v>1</v>
      </c>
      <c r="F157" s="26"/>
      <c r="G157" s="61"/>
      <c r="H157" s="26"/>
      <c r="I157" s="27"/>
      <c r="J157" s="27"/>
      <c r="K157" s="25"/>
      <c r="L157" s="25"/>
      <c r="M157" s="26"/>
      <c r="N157" s="27"/>
      <c r="O157" s="28"/>
      <c r="P157" s="29"/>
      <c r="Q157" s="195"/>
      <c r="R157" s="195"/>
      <c r="S157" s="195"/>
      <c r="T157" s="90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102"/>
      <c r="AY157" s="102"/>
      <c r="AZ157" s="102"/>
      <c r="BA157" s="102"/>
      <c r="BB157" s="102"/>
      <c r="BC157" s="102"/>
      <c r="BD157" s="102"/>
      <c r="BE157" s="102"/>
      <c r="BF157" s="102"/>
      <c r="BG157" s="102"/>
      <c r="BH157" s="102"/>
      <c r="BI157" s="102"/>
      <c r="BJ157" s="102"/>
      <c r="BK157" s="102"/>
      <c r="BL157" s="102"/>
      <c r="BM157" s="102"/>
      <c r="BN157" s="102"/>
    </row>
    <row r="158" spans="1:69" s="184" customFormat="1" ht="22.5" x14ac:dyDescent="0.15">
      <c r="A158" s="284">
        <v>51</v>
      </c>
      <c r="B158" s="176"/>
      <c r="C158" s="179" t="s">
        <v>290</v>
      </c>
      <c r="D158" s="180" t="s">
        <v>42</v>
      </c>
      <c r="E158" s="181">
        <f>ROUND(E148*0.16,2)</f>
        <v>32.619999999999997</v>
      </c>
      <c r="F158" s="26"/>
      <c r="G158" s="61"/>
      <c r="H158" s="26"/>
      <c r="I158" s="27"/>
      <c r="J158" s="27"/>
      <c r="K158" s="25"/>
      <c r="L158" s="25"/>
      <c r="M158" s="26"/>
      <c r="N158" s="27"/>
      <c r="O158" s="28"/>
      <c r="P158" s="29"/>
      <c r="Q158" s="195"/>
      <c r="R158" s="195"/>
      <c r="S158" s="195"/>
      <c r="T158" s="90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102"/>
      <c r="AY158" s="102"/>
      <c r="AZ158" s="102"/>
      <c r="BA158" s="102"/>
      <c r="BB158" s="102"/>
      <c r="BC158" s="102"/>
      <c r="BD158" s="102"/>
      <c r="BE158" s="102"/>
      <c r="BF158" s="102"/>
      <c r="BG158" s="102"/>
      <c r="BH158" s="102"/>
      <c r="BI158" s="102"/>
      <c r="BJ158" s="102"/>
      <c r="BK158" s="102"/>
      <c r="BL158" s="102"/>
      <c r="BM158" s="102"/>
      <c r="BN158" s="102"/>
    </row>
    <row r="159" spans="1:69" s="184" customFormat="1" ht="11.25" x14ac:dyDescent="0.15">
      <c r="A159" s="334"/>
      <c r="B159" s="186"/>
      <c r="C159" s="187" t="s">
        <v>657</v>
      </c>
      <c r="D159" s="180" t="s">
        <v>42</v>
      </c>
      <c r="E159" s="181">
        <f>ROUND(E158*1.1,2)</f>
        <v>35.880000000000003</v>
      </c>
      <c r="F159" s="26"/>
      <c r="G159" s="61"/>
      <c r="H159" s="26"/>
      <c r="I159" s="27"/>
      <c r="J159" s="27"/>
      <c r="K159" s="25"/>
      <c r="L159" s="25"/>
      <c r="M159" s="26"/>
      <c r="N159" s="27"/>
      <c r="O159" s="28"/>
      <c r="P159" s="29"/>
      <c r="Q159" s="195"/>
      <c r="R159" s="195"/>
      <c r="S159" s="195"/>
      <c r="T159" s="90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102"/>
      <c r="AY159" s="102"/>
      <c r="AZ159" s="102"/>
      <c r="BA159" s="102"/>
      <c r="BB159" s="102"/>
      <c r="BC159" s="102"/>
      <c r="BD159" s="102"/>
      <c r="BE159" s="102"/>
      <c r="BF159" s="102"/>
      <c r="BG159" s="102"/>
      <c r="BH159" s="102"/>
      <c r="BI159" s="102"/>
      <c r="BJ159" s="102"/>
      <c r="BK159" s="102"/>
      <c r="BL159" s="102"/>
      <c r="BM159" s="102"/>
      <c r="BN159" s="102"/>
    </row>
    <row r="160" spans="1:69" s="184" customFormat="1" ht="11.25" x14ac:dyDescent="0.15">
      <c r="A160" s="334"/>
      <c r="B160" s="186"/>
      <c r="C160" s="185" t="s">
        <v>245</v>
      </c>
      <c r="D160" s="180" t="s">
        <v>246</v>
      </c>
      <c r="E160" s="181">
        <f>ROUND(E159/8*1,2)</f>
        <v>4.49</v>
      </c>
      <c r="F160" s="26"/>
      <c r="G160" s="61"/>
      <c r="H160" s="26"/>
      <c r="I160" s="27"/>
      <c r="J160" s="27"/>
      <c r="K160" s="25"/>
      <c r="L160" s="25"/>
      <c r="M160" s="26"/>
      <c r="N160" s="27"/>
      <c r="O160" s="28"/>
      <c r="P160" s="29"/>
      <c r="Q160" s="195"/>
      <c r="R160" s="195"/>
      <c r="S160" s="195"/>
      <c r="T160" s="90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102"/>
      <c r="AY160" s="102"/>
      <c r="AZ160" s="102"/>
      <c r="BA160" s="102"/>
      <c r="BB160" s="102"/>
      <c r="BC160" s="102"/>
      <c r="BD160" s="102"/>
      <c r="BE160" s="102"/>
      <c r="BF160" s="102"/>
      <c r="BG160" s="102"/>
      <c r="BH160" s="102"/>
      <c r="BI160" s="102"/>
      <c r="BJ160" s="102"/>
      <c r="BK160" s="102"/>
      <c r="BL160" s="102"/>
      <c r="BM160" s="102"/>
      <c r="BN160" s="102"/>
    </row>
    <row r="161" spans="1:69" s="184" customFormat="1" ht="11.25" x14ac:dyDescent="0.15">
      <c r="A161" s="334"/>
      <c r="B161" s="186"/>
      <c r="C161" s="185" t="s">
        <v>247</v>
      </c>
      <c r="D161" s="180" t="s">
        <v>246</v>
      </c>
      <c r="E161" s="181">
        <f>ROUND(E159/8*2,2)</f>
        <v>8.9700000000000006</v>
      </c>
      <c r="F161" s="26"/>
      <c r="G161" s="61"/>
      <c r="H161" s="26"/>
      <c r="I161" s="27"/>
      <c r="J161" s="27"/>
      <c r="K161" s="25"/>
      <c r="L161" s="25"/>
      <c r="M161" s="26"/>
      <c r="N161" s="27"/>
      <c r="O161" s="28"/>
      <c r="P161" s="29"/>
      <c r="Q161" s="195"/>
      <c r="R161" s="195"/>
      <c r="S161" s="195"/>
      <c r="T161" s="90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102"/>
      <c r="AY161" s="102"/>
      <c r="AZ161" s="102"/>
      <c r="BA161" s="102"/>
      <c r="BB161" s="102"/>
      <c r="BC161" s="102"/>
      <c r="BD161" s="102"/>
      <c r="BE161" s="102"/>
      <c r="BF161" s="102"/>
      <c r="BG161" s="102"/>
      <c r="BH161" s="102"/>
      <c r="BI161" s="102"/>
      <c r="BJ161" s="102"/>
      <c r="BK161" s="102"/>
      <c r="BL161" s="102"/>
      <c r="BM161" s="102"/>
      <c r="BN161" s="102"/>
    </row>
    <row r="162" spans="1:69" s="184" customFormat="1" ht="11.25" x14ac:dyDescent="0.15">
      <c r="A162" s="334"/>
      <c r="B162" s="186"/>
      <c r="C162" s="185" t="s">
        <v>252</v>
      </c>
      <c r="D162" s="180" t="s">
        <v>48</v>
      </c>
      <c r="E162" s="183">
        <v>1</v>
      </c>
      <c r="F162" s="26"/>
      <c r="G162" s="61"/>
      <c r="H162" s="26"/>
      <c r="I162" s="27"/>
      <c r="J162" s="27"/>
      <c r="K162" s="25"/>
      <c r="L162" s="25"/>
      <c r="M162" s="26"/>
      <c r="N162" s="27"/>
      <c r="O162" s="28"/>
      <c r="P162" s="29"/>
      <c r="Q162" s="195"/>
      <c r="R162" s="195"/>
      <c r="S162" s="195"/>
      <c r="T162" s="207"/>
      <c r="U162" s="207"/>
      <c r="V162" s="207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102"/>
      <c r="AY162" s="102"/>
      <c r="AZ162" s="102"/>
      <c r="BA162" s="102"/>
      <c r="BB162" s="102"/>
      <c r="BC162" s="102"/>
      <c r="BD162" s="102"/>
      <c r="BE162" s="102"/>
      <c r="BF162" s="102"/>
      <c r="BG162" s="102"/>
      <c r="BH162" s="102"/>
      <c r="BI162" s="102"/>
      <c r="BJ162" s="102"/>
      <c r="BK162" s="102"/>
      <c r="BL162" s="102"/>
      <c r="BM162" s="102"/>
      <c r="BN162" s="102"/>
      <c r="BO162" s="102"/>
      <c r="BP162" s="102"/>
      <c r="BQ162" s="102"/>
    </row>
    <row r="163" spans="1:69" x14ac:dyDescent="0.2">
      <c r="A163" s="336"/>
      <c r="B163" s="133"/>
      <c r="C163" s="204" t="s">
        <v>276</v>
      </c>
      <c r="D163" s="178"/>
      <c r="E163" s="205"/>
      <c r="F163" s="119"/>
      <c r="G163" s="61"/>
      <c r="H163" s="26"/>
      <c r="I163" s="27"/>
      <c r="J163" s="27"/>
      <c r="K163" s="25"/>
      <c r="L163" s="25"/>
      <c r="M163" s="26"/>
      <c r="N163" s="27"/>
      <c r="O163" s="28"/>
      <c r="P163" s="29"/>
    </row>
    <row r="164" spans="1:69" s="184" customFormat="1" ht="22.5" x14ac:dyDescent="0.15">
      <c r="A164" s="284">
        <v>52</v>
      </c>
      <c r="B164" s="186"/>
      <c r="C164" s="206" t="s">
        <v>544</v>
      </c>
      <c r="D164" s="180" t="s">
        <v>45</v>
      </c>
      <c r="E164" s="181">
        <v>45</v>
      </c>
      <c r="F164" s="119"/>
      <c r="G164" s="61"/>
      <c r="H164" s="26"/>
      <c r="I164" s="27"/>
      <c r="J164" s="27"/>
      <c r="K164" s="25"/>
      <c r="L164" s="25"/>
      <c r="M164" s="26"/>
      <c r="N164" s="27"/>
      <c r="O164" s="28"/>
      <c r="P164" s="29"/>
      <c r="Q164" s="195"/>
      <c r="R164" s="195"/>
      <c r="S164" s="195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102"/>
      <c r="AY164" s="102"/>
      <c r="AZ164" s="102"/>
      <c r="BA164" s="102"/>
      <c r="BB164" s="102"/>
      <c r="BC164" s="102"/>
      <c r="BD164" s="102"/>
      <c r="BE164" s="102"/>
      <c r="BF164" s="102"/>
      <c r="BG164" s="102"/>
      <c r="BH164" s="102"/>
      <c r="BI164" s="102"/>
      <c r="BJ164" s="102"/>
      <c r="BK164" s="102"/>
      <c r="BL164" s="102"/>
      <c r="BM164" s="102"/>
      <c r="BN164" s="102"/>
      <c r="BO164" s="102"/>
      <c r="BP164" s="102"/>
      <c r="BQ164" s="102"/>
    </row>
    <row r="165" spans="1:69" s="184" customFormat="1" ht="11.25" x14ac:dyDescent="0.15">
      <c r="A165" s="334"/>
      <c r="B165" s="186"/>
      <c r="C165" s="185" t="s">
        <v>545</v>
      </c>
      <c r="D165" s="180" t="s">
        <v>50</v>
      </c>
      <c r="E165" s="183">
        <v>2300</v>
      </c>
      <c r="F165" s="119"/>
      <c r="G165" s="61"/>
      <c r="H165" s="26"/>
      <c r="I165" s="27"/>
      <c r="J165" s="27"/>
      <c r="K165" s="25"/>
      <c r="L165" s="25"/>
      <c r="M165" s="26"/>
      <c r="N165" s="27"/>
      <c r="O165" s="28"/>
      <c r="P165" s="29"/>
      <c r="Q165" s="195"/>
      <c r="R165" s="195"/>
      <c r="S165" s="195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102"/>
      <c r="AY165" s="102"/>
      <c r="AZ165" s="102"/>
      <c r="BA165" s="102"/>
      <c r="BB165" s="102"/>
      <c r="BC165" s="102"/>
      <c r="BD165" s="102"/>
      <c r="BE165" s="102"/>
      <c r="BF165" s="102"/>
      <c r="BG165" s="102"/>
      <c r="BH165" s="102"/>
      <c r="BI165" s="102"/>
      <c r="BJ165" s="102"/>
      <c r="BK165" s="102"/>
      <c r="BL165" s="102"/>
      <c r="BM165" s="102"/>
      <c r="BN165" s="102"/>
      <c r="BO165" s="102"/>
      <c r="BP165" s="102"/>
      <c r="BQ165" s="102"/>
    </row>
    <row r="166" spans="1:69" ht="22.5" x14ac:dyDescent="0.2">
      <c r="A166" s="337">
        <v>53</v>
      </c>
      <c r="B166" s="133"/>
      <c r="C166" s="206" t="s">
        <v>284</v>
      </c>
      <c r="D166" s="180" t="s">
        <v>43</v>
      </c>
      <c r="E166" s="183">
        <f>ROUND(E118*2.6,1)</f>
        <v>88.9</v>
      </c>
      <c r="F166" s="119"/>
      <c r="G166" s="61"/>
      <c r="H166" s="26"/>
      <c r="I166" s="27"/>
      <c r="J166" s="27"/>
      <c r="K166" s="25"/>
      <c r="L166" s="25"/>
      <c r="M166" s="26"/>
      <c r="N166" s="27"/>
      <c r="O166" s="28"/>
      <c r="P166" s="29"/>
    </row>
    <row r="167" spans="1:69" ht="34.5" thickBot="1" x14ac:dyDescent="0.25">
      <c r="A167" s="336"/>
      <c r="B167" s="133"/>
      <c r="C167" s="185" t="s">
        <v>277</v>
      </c>
      <c r="D167" s="180" t="s">
        <v>50</v>
      </c>
      <c r="E167" s="183">
        <f>ROUND(E166*2,2)</f>
        <v>177.8</v>
      </c>
      <c r="F167" s="119"/>
      <c r="G167" s="61"/>
      <c r="H167" s="26"/>
      <c r="I167" s="27"/>
      <c r="J167" s="27"/>
      <c r="K167" s="25"/>
      <c r="L167" s="25"/>
      <c r="M167" s="26"/>
      <c r="N167" s="27"/>
      <c r="O167" s="28"/>
      <c r="P167" s="29"/>
    </row>
    <row r="168" spans="1:69" ht="15" customHeight="1" thickBo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2" t="s">
        <v>130</v>
      </c>
      <c r="L168" s="33">
        <f>ROUND(SUM(L15:L167),2)</f>
        <v>0</v>
      </c>
      <c r="M168" s="33">
        <f>ROUND(SUM(M15:M167),2)</f>
        <v>0</v>
      </c>
      <c r="N168" s="34">
        <f>ROUND(SUM(N15:N167),2)</f>
        <v>0</v>
      </c>
      <c r="O168" s="35">
        <f>ROUND(SUM(O15:O167),2)</f>
        <v>0</v>
      </c>
      <c r="P168" s="36">
        <f>ROUND(SUM(P15:P167),2)</f>
        <v>0</v>
      </c>
    </row>
    <row r="169" spans="1:69" ht="34.9" customHeight="1" x14ac:dyDescent="0.2">
      <c r="A169" s="37"/>
      <c r="B169" s="7"/>
      <c r="C169" s="38"/>
      <c r="D169" s="39"/>
      <c r="E169" s="5"/>
      <c r="F169" s="5"/>
      <c r="G169" s="5"/>
      <c r="H169" s="7"/>
      <c r="I169" s="7"/>
      <c r="J169" s="7"/>
      <c r="K169" s="7"/>
      <c r="L169" s="7"/>
      <c r="M169" s="7"/>
      <c r="N169" s="7"/>
      <c r="O169" s="7"/>
      <c r="P169" s="7"/>
    </row>
    <row r="170" spans="1:69" x14ac:dyDescent="0.2">
      <c r="A170" s="40"/>
      <c r="B170" s="41"/>
      <c r="C170" s="41" t="s">
        <v>10</v>
      </c>
      <c r="D170" s="42"/>
      <c r="E170" s="43"/>
      <c r="F170" s="44"/>
      <c r="G170" s="42"/>
      <c r="H170" s="45">
        <f>Kopsavilkums!C$43</f>
        <v>0</v>
      </c>
      <c r="I170" s="46" t="str">
        <f>Kopsavilkums!D$43</f>
        <v>datums</v>
      </c>
      <c r="J170" s="46"/>
      <c r="K170" s="41" t="s">
        <v>11</v>
      </c>
      <c r="L170" s="47"/>
      <c r="M170" s="44"/>
      <c r="N170" s="44"/>
      <c r="O170" s="45">
        <f>Kopsavilkums!C$48</f>
        <v>0</v>
      </c>
      <c r="P170" s="46" t="str">
        <f>Kopsavilkums!D$48</f>
        <v>datums</v>
      </c>
    </row>
    <row r="171" spans="1:69" x14ac:dyDescent="0.2">
      <c r="A171" s="48"/>
      <c r="B171" s="49"/>
      <c r="C171" s="50"/>
      <c r="D171" s="407" t="s">
        <v>12</v>
      </c>
      <c r="E171" s="407"/>
      <c r="F171" s="407"/>
      <c r="G171" s="407"/>
      <c r="H171" s="407"/>
      <c r="I171" s="7"/>
      <c r="J171" s="7"/>
      <c r="K171" s="7"/>
      <c r="L171" s="407" t="s">
        <v>12</v>
      </c>
      <c r="M171" s="407"/>
      <c r="N171" s="407"/>
      <c r="O171" s="407"/>
      <c r="P171" s="7"/>
    </row>
    <row r="172" spans="1:69" x14ac:dyDescent="0.2">
      <c r="A172" s="37"/>
      <c r="B172" s="7"/>
      <c r="C172" s="38"/>
      <c r="D172" s="5"/>
      <c r="E172" s="5"/>
      <c r="F172" s="5"/>
      <c r="G172" s="5"/>
      <c r="H172" s="7"/>
      <c r="I172" s="7"/>
      <c r="J172" s="7"/>
      <c r="K172" s="7"/>
      <c r="L172" s="7"/>
      <c r="M172" s="7"/>
      <c r="N172" s="7"/>
      <c r="O172" s="7"/>
      <c r="P172" s="7"/>
    </row>
    <row r="173" spans="1:69" x14ac:dyDescent="0.2">
      <c r="A173" s="51"/>
      <c r="B173" s="46"/>
      <c r="C173" s="52"/>
      <c r="D173" s="52" t="str">
        <f>Kopsavilkums!B$46</f>
        <v>-</v>
      </c>
      <c r="E173" s="5"/>
      <c r="F173" s="5"/>
      <c r="G173" s="5"/>
      <c r="H173" s="7"/>
      <c r="I173" s="7"/>
      <c r="J173" s="7"/>
      <c r="K173" s="7"/>
      <c r="L173" s="52" t="str">
        <f>Kopsavilkums!B$51</f>
        <v>Sert.Nr.</v>
      </c>
      <c r="M173" s="53"/>
      <c r="N173" s="7"/>
      <c r="O173" s="7"/>
      <c r="P173" s="7"/>
    </row>
    <row r="174" spans="1:69" s="54" customFormat="1" x14ac:dyDescent="0.25">
      <c r="Q174" s="195"/>
      <c r="R174" s="195"/>
      <c r="S174" s="195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</row>
    <row r="175" spans="1:69" s="54" customFormat="1" x14ac:dyDescent="0.25">
      <c r="Q175" s="195"/>
      <c r="R175" s="195"/>
      <c r="S175" s="195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</row>
    <row r="176" spans="1:69" s="54" customFormat="1" x14ac:dyDescent="0.25">
      <c r="Q176" s="195"/>
      <c r="R176" s="195"/>
      <c r="S176" s="195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</row>
    <row r="177" spans="17:45" s="54" customFormat="1" x14ac:dyDescent="0.25">
      <c r="Q177" s="195"/>
      <c r="R177" s="195"/>
      <c r="S177" s="195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</row>
    <row r="178" spans="17:45" s="54" customFormat="1" x14ac:dyDescent="0.25">
      <c r="Q178" s="195"/>
      <c r="R178" s="195"/>
      <c r="S178" s="195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</row>
    <row r="179" spans="17:45" s="54" customFormat="1" x14ac:dyDescent="0.25">
      <c r="Q179" s="195"/>
      <c r="R179" s="195"/>
      <c r="S179" s="195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</row>
    <row r="180" spans="17:45" s="54" customFormat="1" x14ac:dyDescent="0.25">
      <c r="Q180" s="195"/>
      <c r="R180" s="195"/>
      <c r="S180" s="195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</row>
    <row r="181" spans="17:45" s="54" customFormat="1" x14ac:dyDescent="0.25">
      <c r="Q181" s="195"/>
      <c r="R181" s="195"/>
      <c r="S181" s="195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</row>
    <row r="182" spans="17:45" s="54" customFormat="1" x14ac:dyDescent="0.25">
      <c r="Q182" s="195"/>
      <c r="R182" s="195"/>
      <c r="S182" s="195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</row>
    <row r="183" spans="17:45" s="54" customFormat="1" x14ac:dyDescent="0.25">
      <c r="Q183" s="195"/>
      <c r="R183" s="195"/>
      <c r="S183" s="195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</row>
    <row r="184" spans="17:45" s="54" customFormat="1" x14ac:dyDescent="0.25">
      <c r="Q184" s="195"/>
      <c r="R184" s="195"/>
      <c r="S184" s="195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</row>
    <row r="185" spans="17:45" s="54" customFormat="1" x14ac:dyDescent="0.25">
      <c r="Q185" s="195"/>
      <c r="R185" s="195"/>
      <c r="S185" s="195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</row>
    <row r="186" spans="17:45" s="54" customFormat="1" x14ac:dyDescent="0.25">
      <c r="Q186" s="195"/>
      <c r="R186" s="195"/>
      <c r="S186" s="195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</row>
    <row r="187" spans="17:45" s="54" customFormat="1" x14ac:dyDescent="0.25">
      <c r="Q187" s="195"/>
      <c r="R187" s="195"/>
      <c r="S187" s="195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</row>
    <row r="188" spans="17:45" s="54" customFormat="1" x14ac:dyDescent="0.25">
      <c r="Q188" s="195"/>
      <c r="R188" s="195"/>
      <c r="S188" s="195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</row>
    <row r="189" spans="17:45" s="54" customFormat="1" x14ac:dyDescent="0.25">
      <c r="Q189" s="195"/>
      <c r="R189" s="195"/>
      <c r="S189" s="195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</row>
    <row r="190" spans="17:45" s="54" customFormat="1" x14ac:dyDescent="0.25">
      <c r="Q190" s="195"/>
      <c r="R190" s="195"/>
      <c r="S190" s="195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</row>
    <row r="191" spans="17:45" s="54" customFormat="1" x14ac:dyDescent="0.25">
      <c r="Q191" s="195"/>
      <c r="R191" s="195"/>
      <c r="S191" s="195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</row>
    <row r="192" spans="17:45" s="54" customFormat="1" x14ac:dyDescent="0.25">
      <c r="Q192" s="195"/>
      <c r="R192" s="195"/>
      <c r="S192" s="195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</row>
    <row r="193" spans="17:45" s="54" customFormat="1" x14ac:dyDescent="0.25">
      <c r="Q193" s="195"/>
      <c r="R193" s="195"/>
      <c r="S193" s="195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</row>
    <row r="194" spans="17:45" s="54" customFormat="1" x14ac:dyDescent="0.25">
      <c r="Q194" s="195"/>
      <c r="R194" s="195"/>
      <c r="S194" s="195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</row>
    <row r="195" spans="17:45" s="54" customFormat="1" x14ac:dyDescent="0.25">
      <c r="Q195" s="195"/>
      <c r="R195" s="195"/>
      <c r="S195" s="195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</row>
    <row r="196" spans="17:45" s="54" customFormat="1" x14ac:dyDescent="0.25">
      <c r="Q196" s="195"/>
      <c r="R196" s="195"/>
      <c r="S196" s="195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</row>
    <row r="197" spans="17:45" s="54" customFormat="1" x14ac:dyDescent="0.25">
      <c r="Q197" s="195"/>
      <c r="R197" s="195"/>
      <c r="S197" s="195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</row>
    <row r="198" spans="17:45" s="54" customFormat="1" x14ac:dyDescent="0.25">
      <c r="Q198" s="195"/>
      <c r="R198" s="195"/>
      <c r="S198" s="195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</row>
    <row r="199" spans="17:45" s="54" customFormat="1" x14ac:dyDescent="0.25">
      <c r="Q199" s="195"/>
      <c r="R199" s="195"/>
      <c r="S199" s="195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</row>
    <row r="200" spans="17:45" s="54" customFormat="1" x14ac:dyDescent="0.25">
      <c r="Q200" s="195"/>
      <c r="R200" s="195"/>
      <c r="S200" s="195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</row>
    <row r="201" spans="17:45" s="54" customFormat="1" x14ac:dyDescent="0.25">
      <c r="Q201" s="195"/>
      <c r="R201" s="195"/>
      <c r="S201" s="195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</row>
    <row r="202" spans="17:45" s="54" customFormat="1" x14ac:dyDescent="0.25">
      <c r="Q202" s="195"/>
      <c r="R202" s="195"/>
      <c r="S202" s="195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</row>
    <row r="203" spans="17:45" s="54" customFormat="1" x14ac:dyDescent="0.25">
      <c r="Q203" s="195"/>
      <c r="R203" s="195"/>
      <c r="S203" s="195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</row>
    <row r="204" spans="17:45" s="54" customFormat="1" x14ac:dyDescent="0.25">
      <c r="Q204" s="195"/>
      <c r="R204" s="195"/>
      <c r="S204" s="195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</row>
    <row r="205" spans="17:45" s="54" customFormat="1" x14ac:dyDescent="0.25">
      <c r="Q205" s="195"/>
      <c r="R205" s="195"/>
      <c r="S205" s="195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</row>
    <row r="206" spans="17:45" s="54" customFormat="1" x14ac:dyDescent="0.25">
      <c r="Q206" s="195"/>
      <c r="R206" s="195"/>
      <c r="S206" s="195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</row>
    <row r="207" spans="17:45" s="54" customFormat="1" x14ac:dyDescent="0.25">
      <c r="Q207" s="195"/>
      <c r="R207" s="195"/>
      <c r="S207" s="195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</row>
    <row r="208" spans="17:45" s="54" customFormat="1" x14ac:dyDescent="0.25">
      <c r="Q208" s="195"/>
      <c r="R208" s="195"/>
      <c r="S208" s="195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</row>
    <row r="209" spans="17:45" s="54" customFormat="1" x14ac:dyDescent="0.25">
      <c r="Q209" s="195"/>
      <c r="R209" s="195"/>
      <c r="S209" s="195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</row>
    <row r="210" spans="17:45" s="54" customFormat="1" x14ac:dyDescent="0.25">
      <c r="Q210" s="195"/>
      <c r="R210" s="195"/>
      <c r="S210" s="195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</row>
    <row r="211" spans="17:45" s="54" customFormat="1" x14ac:dyDescent="0.25">
      <c r="Q211" s="195"/>
      <c r="R211" s="195"/>
      <c r="S211" s="195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</row>
    <row r="212" spans="17:45" s="54" customFormat="1" x14ac:dyDescent="0.25">
      <c r="Q212" s="195"/>
      <c r="R212" s="195"/>
      <c r="S212" s="195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</row>
    <row r="213" spans="17:45" s="54" customFormat="1" x14ac:dyDescent="0.25">
      <c r="Q213" s="195"/>
      <c r="R213" s="195"/>
      <c r="S213" s="195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</row>
    <row r="214" spans="17:45" s="54" customFormat="1" x14ac:dyDescent="0.25">
      <c r="Q214" s="195"/>
      <c r="R214" s="195"/>
      <c r="S214" s="195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</row>
    <row r="215" spans="17:45" s="54" customFormat="1" x14ac:dyDescent="0.25">
      <c r="Q215" s="195"/>
      <c r="R215" s="195"/>
      <c r="S215" s="195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</row>
    <row r="216" spans="17:45" s="54" customFormat="1" x14ac:dyDescent="0.25">
      <c r="Q216" s="195"/>
      <c r="R216" s="195"/>
      <c r="S216" s="195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</row>
    <row r="217" spans="17:45" s="54" customFormat="1" x14ac:dyDescent="0.25">
      <c r="Q217" s="195"/>
      <c r="R217" s="195"/>
      <c r="S217" s="195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</row>
    <row r="218" spans="17:45" s="54" customFormat="1" x14ac:dyDescent="0.25">
      <c r="Q218" s="195"/>
      <c r="R218" s="195"/>
      <c r="S218" s="195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</row>
    <row r="219" spans="17:45" s="54" customFormat="1" x14ac:dyDescent="0.25">
      <c r="Q219" s="195"/>
      <c r="R219" s="195"/>
      <c r="S219" s="195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</row>
    <row r="220" spans="17:45" s="54" customFormat="1" x14ac:dyDescent="0.25">
      <c r="Q220" s="195"/>
      <c r="R220" s="195"/>
      <c r="S220" s="195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</row>
    <row r="221" spans="17:45" s="54" customFormat="1" x14ac:dyDescent="0.25">
      <c r="Q221" s="195"/>
      <c r="R221" s="195"/>
      <c r="S221" s="195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</row>
    <row r="222" spans="17:45" s="54" customFormat="1" x14ac:dyDescent="0.25">
      <c r="Q222" s="195"/>
      <c r="R222" s="195"/>
      <c r="S222" s="195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</row>
    <row r="223" spans="17:45" s="54" customFormat="1" x14ac:dyDescent="0.25">
      <c r="Q223" s="195"/>
      <c r="R223" s="195"/>
      <c r="S223" s="195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</row>
    <row r="224" spans="17:45" s="54" customFormat="1" x14ac:dyDescent="0.25">
      <c r="Q224" s="195"/>
      <c r="R224" s="195"/>
      <c r="S224" s="195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</row>
    <row r="225" spans="17:45" s="54" customFormat="1" x14ac:dyDescent="0.25">
      <c r="Q225" s="195"/>
      <c r="R225" s="195"/>
      <c r="S225" s="195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</row>
    <row r="226" spans="17:45" s="54" customFormat="1" x14ac:dyDescent="0.25">
      <c r="Q226" s="195"/>
      <c r="R226" s="195"/>
      <c r="S226" s="195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</row>
    <row r="227" spans="17:45" s="54" customFormat="1" x14ac:dyDescent="0.25">
      <c r="Q227" s="195"/>
      <c r="R227" s="195"/>
      <c r="S227" s="195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</row>
    <row r="228" spans="17:45" s="54" customFormat="1" x14ac:dyDescent="0.25">
      <c r="Q228" s="195"/>
      <c r="R228" s="195"/>
      <c r="S228" s="195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</row>
    <row r="229" spans="17:45" s="54" customFormat="1" x14ac:dyDescent="0.25">
      <c r="Q229" s="195"/>
      <c r="R229" s="195"/>
      <c r="S229" s="195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</row>
    <row r="230" spans="17:45" s="54" customFormat="1" x14ac:dyDescent="0.25">
      <c r="Q230" s="195"/>
      <c r="R230" s="195"/>
      <c r="S230" s="195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</row>
    <row r="231" spans="17:45" s="54" customFormat="1" x14ac:dyDescent="0.25">
      <c r="Q231" s="195"/>
      <c r="R231" s="195"/>
      <c r="S231" s="195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</row>
    <row r="232" spans="17:45" s="54" customFormat="1" x14ac:dyDescent="0.25">
      <c r="Q232" s="195"/>
      <c r="R232" s="195"/>
      <c r="S232" s="195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</row>
    <row r="233" spans="17:45" s="54" customFormat="1" x14ac:dyDescent="0.25">
      <c r="Q233" s="195"/>
      <c r="R233" s="195"/>
      <c r="S233" s="195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</row>
    <row r="234" spans="17:45" s="54" customFormat="1" x14ac:dyDescent="0.25">
      <c r="Q234" s="195"/>
      <c r="R234" s="195"/>
      <c r="S234" s="195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</row>
    <row r="235" spans="17:45" s="54" customFormat="1" x14ac:dyDescent="0.25">
      <c r="Q235" s="195"/>
      <c r="R235" s="195"/>
      <c r="S235" s="195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</row>
    <row r="236" spans="17:45" s="54" customFormat="1" x14ac:dyDescent="0.25">
      <c r="Q236" s="195"/>
      <c r="R236" s="195"/>
      <c r="S236" s="195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</row>
    <row r="237" spans="17:45" s="54" customFormat="1" x14ac:dyDescent="0.25">
      <c r="Q237" s="195"/>
      <c r="R237" s="195"/>
      <c r="S237" s="195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</row>
    <row r="238" spans="17:45" s="54" customFormat="1" x14ac:dyDescent="0.25">
      <c r="Q238" s="195"/>
      <c r="R238" s="195"/>
      <c r="S238" s="195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</row>
    <row r="239" spans="17:45" s="54" customFormat="1" x14ac:dyDescent="0.25">
      <c r="Q239" s="195"/>
      <c r="R239" s="195"/>
      <c r="S239" s="195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</row>
    <row r="240" spans="17:45" s="54" customFormat="1" x14ac:dyDescent="0.25">
      <c r="Q240" s="195"/>
      <c r="R240" s="195"/>
      <c r="S240" s="195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</row>
    <row r="241" spans="17:45" s="54" customFormat="1" x14ac:dyDescent="0.25">
      <c r="Q241" s="195"/>
      <c r="R241" s="195"/>
      <c r="S241" s="195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</row>
    <row r="242" spans="17:45" s="54" customFormat="1" x14ac:dyDescent="0.25">
      <c r="Q242" s="195"/>
      <c r="R242" s="195"/>
      <c r="S242" s="195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</row>
    <row r="243" spans="17:45" s="54" customFormat="1" x14ac:dyDescent="0.25">
      <c r="Q243" s="195"/>
      <c r="R243" s="195"/>
      <c r="S243" s="195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</row>
    <row r="244" spans="17:45" s="54" customFormat="1" x14ac:dyDescent="0.25">
      <c r="Q244" s="195"/>
      <c r="R244" s="195"/>
      <c r="S244" s="195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</row>
    <row r="245" spans="17:45" s="54" customFormat="1" x14ac:dyDescent="0.25">
      <c r="Q245" s="195"/>
      <c r="R245" s="195"/>
      <c r="S245" s="195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</row>
    <row r="246" spans="17:45" s="54" customFormat="1" x14ac:dyDescent="0.25">
      <c r="Q246" s="195"/>
      <c r="R246" s="195"/>
      <c r="S246" s="195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</row>
    <row r="247" spans="17:45" s="54" customFormat="1" x14ac:dyDescent="0.25">
      <c r="Q247" s="195"/>
      <c r="R247" s="195"/>
      <c r="S247" s="195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</row>
    <row r="248" spans="17:45" s="54" customFormat="1" x14ac:dyDescent="0.25">
      <c r="Q248" s="195"/>
      <c r="R248" s="195"/>
      <c r="S248" s="195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</row>
    <row r="249" spans="17:45" s="54" customFormat="1" x14ac:dyDescent="0.25">
      <c r="Q249" s="195"/>
      <c r="R249" s="195"/>
      <c r="S249" s="195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</row>
    <row r="250" spans="17:45" s="54" customFormat="1" x14ac:dyDescent="0.25">
      <c r="Q250" s="195"/>
      <c r="R250" s="195"/>
      <c r="S250" s="195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</row>
    <row r="251" spans="17:45" s="54" customFormat="1" x14ac:dyDescent="0.25">
      <c r="Q251" s="195"/>
      <c r="R251" s="195"/>
      <c r="S251" s="195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</row>
    <row r="252" spans="17:45" s="54" customFormat="1" x14ac:dyDescent="0.25">
      <c r="Q252" s="195"/>
      <c r="R252" s="195"/>
      <c r="S252" s="195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</row>
    <row r="253" spans="17:45" s="54" customFormat="1" x14ac:dyDescent="0.25">
      <c r="Q253" s="195"/>
      <c r="R253" s="195"/>
      <c r="S253" s="195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</row>
    <row r="254" spans="17:45" s="54" customFormat="1" x14ac:dyDescent="0.25">
      <c r="Q254" s="195"/>
      <c r="R254" s="195"/>
      <c r="S254" s="195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</row>
    <row r="255" spans="17:45" s="54" customFormat="1" x14ac:dyDescent="0.25">
      <c r="Q255" s="195"/>
      <c r="R255" s="195"/>
      <c r="S255" s="195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</row>
    <row r="256" spans="17:45" s="54" customFormat="1" x14ac:dyDescent="0.25">
      <c r="Q256" s="195"/>
      <c r="R256" s="195"/>
      <c r="S256" s="195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</row>
    <row r="257" spans="17:45" s="54" customFormat="1" x14ac:dyDescent="0.25">
      <c r="Q257" s="195"/>
      <c r="R257" s="195"/>
      <c r="S257" s="195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</row>
    <row r="258" spans="17:45" s="54" customFormat="1" x14ac:dyDescent="0.25">
      <c r="Q258" s="195"/>
      <c r="R258" s="195"/>
      <c r="S258" s="195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</row>
    <row r="259" spans="17:45" s="54" customFormat="1" x14ac:dyDescent="0.25">
      <c r="Q259" s="195"/>
      <c r="R259" s="195"/>
      <c r="S259" s="195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</row>
    <row r="260" spans="17:45" s="54" customFormat="1" x14ac:dyDescent="0.25">
      <c r="Q260" s="195"/>
      <c r="R260" s="195"/>
      <c r="S260" s="195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</row>
    <row r="261" spans="17:45" s="54" customFormat="1" x14ac:dyDescent="0.25">
      <c r="Q261" s="195"/>
      <c r="R261" s="195"/>
      <c r="S261" s="195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</row>
    <row r="262" spans="17:45" s="54" customFormat="1" x14ac:dyDescent="0.25">
      <c r="Q262" s="195"/>
      <c r="R262" s="195"/>
      <c r="S262" s="195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</row>
    <row r="263" spans="17:45" s="54" customFormat="1" x14ac:dyDescent="0.25">
      <c r="Q263" s="195"/>
      <c r="R263" s="195"/>
      <c r="S263" s="195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</row>
    <row r="264" spans="17:45" s="54" customFormat="1" x14ac:dyDescent="0.25">
      <c r="Q264" s="195"/>
      <c r="R264" s="195"/>
      <c r="S264" s="195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</row>
    <row r="265" spans="17:45" s="54" customFormat="1" x14ac:dyDescent="0.25">
      <c r="Q265" s="195"/>
      <c r="R265" s="195"/>
      <c r="S265" s="195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</row>
    <row r="266" spans="17:45" s="54" customFormat="1" x14ac:dyDescent="0.25">
      <c r="Q266" s="195"/>
      <c r="R266" s="195"/>
      <c r="S266" s="195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</row>
    <row r="267" spans="17:45" s="54" customFormat="1" x14ac:dyDescent="0.25">
      <c r="Q267" s="195"/>
      <c r="R267" s="195"/>
      <c r="S267" s="195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</row>
    <row r="268" spans="17:45" s="54" customFormat="1" x14ac:dyDescent="0.25">
      <c r="Q268" s="195"/>
      <c r="R268" s="195"/>
      <c r="S268" s="195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</row>
    <row r="269" spans="17:45" s="54" customFormat="1" x14ac:dyDescent="0.25">
      <c r="Q269" s="195"/>
      <c r="R269" s="195"/>
      <c r="S269" s="195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</row>
    <row r="270" spans="17:45" s="54" customFormat="1" x14ac:dyDescent="0.25">
      <c r="Q270" s="195"/>
      <c r="R270" s="195"/>
      <c r="S270" s="195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</row>
    <row r="271" spans="17:45" s="54" customFormat="1" x14ac:dyDescent="0.25">
      <c r="Q271" s="195"/>
      <c r="R271" s="195"/>
      <c r="S271" s="195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</row>
    <row r="272" spans="17:45" s="54" customFormat="1" x14ac:dyDescent="0.25">
      <c r="Q272" s="195"/>
      <c r="R272" s="195"/>
      <c r="S272" s="195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</row>
    <row r="273" spans="17:45" s="54" customFormat="1" x14ac:dyDescent="0.25">
      <c r="Q273" s="195"/>
      <c r="R273" s="195"/>
      <c r="S273" s="195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</row>
    <row r="274" spans="17:45" s="54" customFormat="1" x14ac:dyDescent="0.25">
      <c r="Q274" s="195"/>
      <c r="R274" s="195"/>
      <c r="S274" s="195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</row>
    <row r="275" spans="17:45" s="54" customFormat="1" x14ac:dyDescent="0.25">
      <c r="Q275" s="195"/>
      <c r="R275" s="195"/>
      <c r="S275" s="195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</row>
    <row r="276" spans="17:45" s="54" customFormat="1" x14ac:dyDescent="0.25">
      <c r="Q276" s="195"/>
      <c r="R276" s="195"/>
      <c r="S276" s="195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</row>
    <row r="277" spans="17:45" s="54" customFormat="1" x14ac:dyDescent="0.25">
      <c r="Q277" s="195"/>
      <c r="R277" s="195"/>
      <c r="S277" s="195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</row>
    <row r="278" spans="17:45" s="54" customFormat="1" x14ac:dyDescent="0.25">
      <c r="Q278" s="195"/>
      <c r="R278" s="195"/>
      <c r="S278" s="195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</row>
    <row r="279" spans="17:45" s="54" customFormat="1" x14ac:dyDescent="0.25">
      <c r="Q279" s="195"/>
      <c r="R279" s="195"/>
      <c r="S279" s="195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</row>
    <row r="280" spans="17:45" s="54" customFormat="1" x14ac:dyDescent="0.25">
      <c r="Q280" s="195"/>
      <c r="R280" s="195"/>
      <c r="S280" s="195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</row>
    <row r="281" spans="17:45" s="54" customFormat="1" x14ac:dyDescent="0.25">
      <c r="Q281" s="195"/>
      <c r="R281" s="195"/>
      <c r="S281" s="195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</row>
    <row r="282" spans="17:45" s="54" customFormat="1" x14ac:dyDescent="0.25">
      <c r="Q282" s="195"/>
      <c r="R282" s="195"/>
      <c r="S282" s="195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</row>
    <row r="283" spans="17:45" s="54" customFormat="1" x14ac:dyDescent="0.25">
      <c r="Q283" s="195"/>
      <c r="R283" s="195"/>
      <c r="S283" s="195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</row>
    <row r="284" spans="17:45" s="54" customFormat="1" x14ac:dyDescent="0.25">
      <c r="Q284" s="195"/>
      <c r="R284" s="195"/>
      <c r="S284" s="195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</row>
    <row r="285" spans="17:45" s="54" customFormat="1" x14ac:dyDescent="0.25">
      <c r="Q285" s="195"/>
      <c r="R285" s="195"/>
      <c r="S285" s="195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</row>
    <row r="286" spans="17:45" s="54" customFormat="1" x14ac:dyDescent="0.25">
      <c r="Q286" s="195"/>
      <c r="R286" s="195"/>
      <c r="S286" s="195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</row>
    <row r="287" spans="17:45" s="54" customFormat="1" x14ac:dyDescent="0.25">
      <c r="Q287" s="195"/>
      <c r="R287" s="195"/>
      <c r="S287" s="195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</row>
    <row r="288" spans="17:45" s="54" customFormat="1" x14ac:dyDescent="0.25">
      <c r="Q288" s="195"/>
      <c r="R288" s="195"/>
      <c r="S288" s="195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</row>
    <row r="289" spans="17:45" s="54" customFormat="1" x14ac:dyDescent="0.25">
      <c r="Q289" s="195"/>
      <c r="R289" s="195"/>
      <c r="S289" s="195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</row>
    <row r="290" spans="17:45" s="54" customFormat="1" x14ac:dyDescent="0.25">
      <c r="Q290" s="195"/>
      <c r="R290" s="195"/>
      <c r="S290" s="195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</row>
    <row r="291" spans="17:45" s="54" customFormat="1" x14ac:dyDescent="0.25">
      <c r="Q291" s="195"/>
      <c r="R291" s="195"/>
      <c r="S291" s="195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</row>
    <row r="292" spans="17:45" s="54" customFormat="1" x14ac:dyDescent="0.25">
      <c r="Q292" s="195"/>
      <c r="R292" s="195"/>
      <c r="S292" s="195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</row>
    <row r="293" spans="17:45" s="54" customFormat="1" x14ac:dyDescent="0.25">
      <c r="Q293" s="195"/>
      <c r="R293" s="195"/>
      <c r="S293" s="195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</row>
    <row r="294" spans="17:45" s="54" customFormat="1" x14ac:dyDescent="0.25">
      <c r="Q294" s="195"/>
      <c r="R294" s="195"/>
      <c r="S294" s="195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</row>
    <row r="295" spans="17:45" s="54" customFormat="1" x14ac:dyDescent="0.25">
      <c r="Q295" s="195"/>
      <c r="R295" s="195"/>
      <c r="S295" s="195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</row>
    <row r="296" spans="17:45" s="54" customFormat="1" x14ac:dyDescent="0.25">
      <c r="Q296" s="195"/>
      <c r="R296" s="195"/>
      <c r="S296" s="195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</row>
    <row r="297" spans="17:45" s="54" customFormat="1" x14ac:dyDescent="0.25">
      <c r="Q297" s="195"/>
      <c r="R297" s="195"/>
      <c r="S297" s="195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</row>
    <row r="298" spans="17:45" s="54" customFormat="1" x14ac:dyDescent="0.25">
      <c r="Q298" s="195"/>
      <c r="R298" s="195"/>
      <c r="S298" s="195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</row>
    <row r="299" spans="17:45" s="54" customFormat="1" x14ac:dyDescent="0.25">
      <c r="Q299" s="195"/>
      <c r="R299" s="195"/>
      <c r="S299" s="195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</row>
    <row r="300" spans="17:45" s="54" customFormat="1" x14ac:dyDescent="0.25">
      <c r="Q300" s="195"/>
      <c r="R300" s="195"/>
      <c r="S300" s="195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</row>
    <row r="301" spans="17:45" s="54" customFormat="1" x14ac:dyDescent="0.25">
      <c r="Q301" s="195"/>
      <c r="R301" s="195"/>
      <c r="S301" s="195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</row>
    <row r="302" spans="17:45" s="54" customFormat="1" x14ac:dyDescent="0.25">
      <c r="Q302" s="195"/>
      <c r="R302" s="195"/>
      <c r="S302" s="195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</row>
    <row r="303" spans="17:45" s="54" customFormat="1" x14ac:dyDescent="0.25">
      <c r="Q303" s="195"/>
      <c r="R303" s="195"/>
      <c r="S303" s="195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</row>
    <row r="304" spans="17:45" s="54" customFormat="1" x14ac:dyDescent="0.25">
      <c r="Q304" s="195"/>
      <c r="R304" s="195"/>
      <c r="S304" s="195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</row>
    <row r="305" spans="17:45" s="54" customFormat="1" x14ac:dyDescent="0.25">
      <c r="Q305" s="195"/>
      <c r="R305" s="195"/>
      <c r="S305" s="195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</row>
    <row r="306" spans="17:45" s="54" customFormat="1" x14ac:dyDescent="0.25">
      <c r="Q306" s="195"/>
      <c r="R306" s="195"/>
      <c r="S306" s="195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</row>
    <row r="307" spans="17:45" s="54" customFormat="1" x14ac:dyDescent="0.25">
      <c r="Q307" s="195"/>
      <c r="R307" s="195"/>
      <c r="S307" s="195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</row>
    <row r="308" spans="17:45" s="54" customFormat="1" x14ac:dyDescent="0.25">
      <c r="Q308" s="195"/>
      <c r="R308" s="195"/>
      <c r="S308" s="195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</row>
    <row r="309" spans="17:45" s="54" customFormat="1" x14ac:dyDescent="0.25">
      <c r="Q309" s="195"/>
      <c r="R309" s="195"/>
      <c r="S309" s="195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</row>
    <row r="310" spans="17:45" s="54" customFormat="1" x14ac:dyDescent="0.25">
      <c r="Q310" s="195"/>
      <c r="R310" s="195"/>
      <c r="S310" s="195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</row>
    <row r="311" spans="17:45" s="54" customFormat="1" x14ac:dyDescent="0.25">
      <c r="Q311" s="195"/>
      <c r="R311" s="195"/>
      <c r="S311" s="195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</row>
    <row r="312" spans="17:45" s="54" customFormat="1" x14ac:dyDescent="0.25">
      <c r="Q312" s="195"/>
      <c r="R312" s="195"/>
      <c r="S312" s="195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</row>
    <row r="313" spans="17:45" s="54" customFormat="1" x14ac:dyDescent="0.25">
      <c r="Q313" s="195"/>
      <c r="R313" s="195"/>
      <c r="S313" s="195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</row>
    <row r="314" spans="17:45" s="54" customFormat="1" x14ac:dyDescent="0.25">
      <c r="Q314" s="195"/>
      <c r="R314" s="195"/>
      <c r="S314" s="195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</row>
    <row r="315" spans="17:45" s="54" customFormat="1" x14ac:dyDescent="0.25">
      <c r="Q315" s="195"/>
      <c r="R315" s="195"/>
      <c r="S315" s="195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</row>
    <row r="316" spans="17:45" s="54" customFormat="1" x14ac:dyDescent="0.25">
      <c r="Q316" s="195"/>
      <c r="R316" s="195"/>
      <c r="S316" s="195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</row>
    <row r="317" spans="17:45" s="54" customFormat="1" x14ac:dyDescent="0.25">
      <c r="Q317" s="195"/>
      <c r="R317" s="195"/>
      <c r="S317" s="195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</row>
    <row r="318" spans="17:45" s="54" customFormat="1" x14ac:dyDescent="0.25">
      <c r="Q318" s="195"/>
      <c r="R318" s="195"/>
      <c r="S318" s="195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</row>
    <row r="319" spans="17:45" s="54" customFormat="1" x14ac:dyDescent="0.25">
      <c r="Q319" s="195"/>
      <c r="R319" s="195"/>
      <c r="S319" s="195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</row>
    <row r="320" spans="17:45" s="54" customFormat="1" x14ac:dyDescent="0.25">
      <c r="Q320" s="195"/>
      <c r="R320" s="195"/>
      <c r="S320" s="195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</row>
    <row r="321" spans="17:45" s="54" customFormat="1" x14ac:dyDescent="0.25">
      <c r="Q321" s="195"/>
      <c r="R321" s="195"/>
      <c r="S321" s="195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</row>
    <row r="322" spans="17:45" s="54" customFormat="1" x14ac:dyDescent="0.25">
      <c r="Q322" s="195"/>
      <c r="R322" s="195"/>
      <c r="S322" s="195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</row>
    <row r="323" spans="17:45" s="54" customFormat="1" x14ac:dyDescent="0.25">
      <c r="Q323" s="195"/>
      <c r="R323" s="195"/>
      <c r="S323" s="195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</row>
    <row r="324" spans="17:45" s="54" customFormat="1" x14ac:dyDescent="0.25">
      <c r="Q324" s="195"/>
      <c r="R324" s="195"/>
      <c r="S324" s="195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</row>
    <row r="325" spans="17:45" s="54" customFormat="1" x14ac:dyDescent="0.25">
      <c r="Q325" s="195"/>
      <c r="R325" s="195"/>
      <c r="S325" s="195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</row>
    <row r="326" spans="17:45" s="54" customFormat="1" x14ac:dyDescent="0.25">
      <c r="Q326" s="195"/>
      <c r="R326" s="195"/>
      <c r="S326" s="195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</row>
    <row r="327" spans="17:45" s="54" customFormat="1" x14ac:dyDescent="0.25">
      <c r="Q327" s="195"/>
      <c r="R327" s="195"/>
      <c r="S327" s="195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</row>
    <row r="328" spans="17:45" s="54" customFormat="1" x14ac:dyDescent="0.25">
      <c r="Q328" s="195"/>
      <c r="R328" s="195"/>
      <c r="S328" s="195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</row>
    <row r="329" spans="17:45" s="54" customFormat="1" x14ac:dyDescent="0.25">
      <c r="Q329" s="195"/>
      <c r="R329" s="195"/>
      <c r="S329" s="195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</row>
    <row r="330" spans="17:45" s="54" customFormat="1" x14ac:dyDescent="0.25">
      <c r="Q330" s="195"/>
      <c r="R330" s="195"/>
      <c r="S330" s="195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</row>
    <row r="331" spans="17:45" s="54" customFormat="1" x14ac:dyDescent="0.25">
      <c r="Q331" s="195"/>
      <c r="R331" s="195"/>
      <c r="S331" s="195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</row>
    <row r="332" spans="17:45" s="54" customFormat="1" x14ac:dyDescent="0.25">
      <c r="Q332" s="195"/>
      <c r="R332" s="195"/>
      <c r="S332" s="195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</row>
    <row r="333" spans="17:45" s="54" customFormat="1" x14ac:dyDescent="0.25">
      <c r="Q333" s="195"/>
      <c r="R333" s="195"/>
      <c r="S333" s="195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</row>
    <row r="334" spans="17:45" s="54" customFormat="1" x14ac:dyDescent="0.25">
      <c r="Q334" s="195"/>
      <c r="R334" s="195"/>
      <c r="S334" s="195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</row>
    <row r="335" spans="17:45" s="54" customFormat="1" x14ac:dyDescent="0.25">
      <c r="Q335" s="195"/>
      <c r="R335" s="195"/>
      <c r="S335" s="195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</row>
    <row r="336" spans="17:45" s="54" customFormat="1" x14ac:dyDescent="0.25">
      <c r="Q336" s="195"/>
      <c r="R336" s="195"/>
      <c r="S336" s="195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</row>
    <row r="337" spans="17:45" s="54" customFormat="1" x14ac:dyDescent="0.25">
      <c r="Q337" s="195"/>
      <c r="R337" s="195"/>
      <c r="S337" s="195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</row>
    <row r="338" spans="17:45" s="54" customFormat="1" x14ac:dyDescent="0.25">
      <c r="Q338" s="195"/>
      <c r="R338" s="195"/>
      <c r="S338" s="195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</row>
    <row r="339" spans="17:45" s="54" customFormat="1" x14ac:dyDescent="0.25">
      <c r="Q339" s="195"/>
      <c r="R339" s="195"/>
      <c r="S339" s="195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</row>
    <row r="340" spans="17:45" s="54" customFormat="1" x14ac:dyDescent="0.25">
      <c r="Q340" s="195"/>
      <c r="R340" s="195"/>
      <c r="S340" s="195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</row>
    <row r="341" spans="17:45" s="54" customFormat="1" x14ac:dyDescent="0.25">
      <c r="Q341" s="195"/>
      <c r="R341" s="195"/>
      <c r="S341" s="195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</row>
    <row r="342" spans="17:45" s="54" customFormat="1" x14ac:dyDescent="0.25">
      <c r="Q342" s="195"/>
      <c r="R342" s="195"/>
      <c r="S342" s="195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</row>
    <row r="343" spans="17:45" s="54" customFormat="1" x14ac:dyDescent="0.25">
      <c r="Q343" s="195"/>
      <c r="R343" s="195"/>
      <c r="S343" s="195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</row>
    <row r="344" spans="17:45" s="54" customFormat="1" x14ac:dyDescent="0.25">
      <c r="Q344" s="195"/>
      <c r="R344" s="195"/>
      <c r="S344" s="195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</row>
    <row r="345" spans="17:45" s="54" customFormat="1" x14ac:dyDescent="0.25">
      <c r="Q345" s="195"/>
      <c r="R345" s="195"/>
      <c r="S345" s="195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</row>
    <row r="346" spans="17:45" s="54" customFormat="1" x14ac:dyDescent="0.25">
      <c r="Q346" s="195"/>
      <c r="R346" s="195"/>
      <c r="S346" s="195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</row>
    <row r="347" spans="17:45" s="54" customFormat="1" x14ac:dyDescent="0.25">
      <c r="Q347" s="195"/>
      <c r="R347" s="195"/>
      <c r="S347" s="195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</row>
    <row r="348" spans="17:45" s="54" customFormat="1" x14ac:dyDescent="0.25">
      <c r="Q348" s="195"/>
      <c r="R348" s="195"/>
      <c r="S348" s="195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</row>
    <row r="349" spans="17:45" s="54" customFormat="1" x14ac:dyDescent="0.25">
      <c r="Q349" s="195"/>
      <c r="R349" s="195"/>
      <c r="S349" s="195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</row>
    <row r="350" spans="17:45" s="54" customFormat="1" x14ac:dyDescent="0.25">
      <c r="Q350" s="195"/>
      <c r="R350" s="195"/>
      <c r="S350" s="195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</row>
    <row r="351" spans="17:45" s="54" customFormat="1" x14ac:dyDescent="0.25">
      <c r="Q351" s="195"/>
      <c r="R351" s="195"/>
      <c r="S351" s="195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</row>
    <row r="352" spans="17:45" s="54" customFormat="1" x14ac:dyDescent="0.25">
      <c r="Q352" s="195"/>
      <c r="R352" s="195"/>
      <c r="S352" s="195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</row>
    <row r="353" spans="17:45" s="54" customFormat="1" x14ac:dyDescent="0.25">
      <c r="Q353" s="195"/>
      <c r="R353" s="195"/>
      <c r="S353" s="195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</row>
    <row r="354" spans="17:45" s="54" customFormat="1" x14ac:dyDescent="0.25">
      <c r="Q354" s="195"/>
      <c r="R354" s="195"/>
      <c r="S354" s="195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</row>
    <row r="355" spans="17:45" s="54" customFormat="1" x14ac:dyDescent="0.25">
      <c r="Q355" s="195"/>
      <c r="R355" s="195"/>
      <c r="S355" s="195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</row>
    <row r="356" spans="17:45" s="54" customFormat="1" x14ac:dyDescent="0.25">
      <c r="Q356" s="195"/>
      <c r="R356" s="195"/>
      <c r="S356" s="195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</row>
    <row r="357" spans="17:45" s="54" customFormat="1" x14ac:dyDescent="0.25">
      <c r="Q357" s="195"/>
      <c r="R357" s="195"/>
      <c r="S357" s="195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</row>
    <row r="358" spans="17:45" s="54" customFormat="1" x14ac:dyDescent="0.25">
      <c r="Q358" s="195"/>
      <c r="R358" s="195"/>
      <c r="S358" s="195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</row>
    <row r="359" spans="17:45" s="54" customFormat="1" x14ac:dyDescent="0.25">
      <c r="Q359" s="195"/>
      <c r="R359" s="195"/>
      <c r="S359" s="195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</row>
    <row r="360" spans="17:45" s="54" customFormat="1" x14ac:dyDescent="0.25">
      <c r="Q360" s="195"/>
      <c r="R360" s="195"/>
      <c r="S360" s="195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</row>
    <row r="361" spans="17:45" s="54" customFormat="1" x14ac:dyDescent="0.25">
      <c r="Q361" s="195"/>
      <c r="R361" s="195"/>
      <c r="S361" s="195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</row>
    <row r="362" spans="17:45" s="54" customFormat="1" x14ac:dyDescent="0.25">
      <c r="Q362" s="195"/>
      <c r="R362" s="195"/>
      <c r="S362" s="195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</row>
    <row r="363" spans="17:45" s="54" customFormat="1" x14ac:dyDescent="0.25">
      <c r="Q363" s="195"/>
      <c r="R363" s="195"/>
      <c r="S363" s="195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</row>
    <row r="364" spans="17:45" s="54" customFormat="1" x14ac:dyDescent="0.25">
      <c r="Q364" s="195"/>
      <c r="R364" s="195"/>
      <c r="S364" s="195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</row>
    <row r="365" spans="17:45" s="54" customFormat="1" x14ac:dyDescent="0.25">
      <c r="Q365" s="195"/>
      <c r="R365" s="195"/>
      <c r="S365" s="195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</row>
    <row r="366" spans="17:45" s="54" customFormat="1" x14ac:dyDescent="0.25">
      <c r="Q366" s="195"/>
      <c r="R366" s="195"/>
      <c r="S366" s="195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</row>
    <row r="367" spans="17:45" s="54" customFormat="1" x14ac:dyDescent="0.25">
      <c r="Q367" s="195"/>
      <c r="R367" s="195"/>
      <c r="S367" s="195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</row>
    <row r="368" spans="17:45" s="54" customFormat="1" x14ac:dyDescent="0.25">
      <c r="Q368" s="195"/>
      <c r="R368" s="195"/>
      <c r="S368" s="195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</row>
    <row r="369" spans="17:45" s="54" customFormat="1" x14ac:dyDescent="0.25">
      <c r="Q369" s="195"/>
      <c r="R369" s="195"/>
      <c r="S369" s="195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</row>
    <row r="370" spans="17:45" s="54" customFormat="1" x14ac:dyDescent="0.25">
      <c r="Q370" s="195"/>
      <c r="R370" s="195"/>
      <c r="S370" s="195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</row>
    <row r="371" spans="17:45" s="54" customFormat="1" x14ac:dyDescent="0.25">
      <c r="Q371" s="195"/>
      <c r="R371" s="195"/>
      <c r="S371" s="195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</row>
    <row r="372" spans="17:45" s="54" customFormat="1" x14ac:dyDescent="0.25">
      <c r="Q372" s="195"/>
      <c r="R372" s="195"/>
      <c r="S372" s="195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</row>
    <row r="373" spans="17:45" s="54" customFormat="1" x14ac:dyDescent="0.25">
      <c r="Q373" s="195"/>
      <c r="R373" s="195"/>
      <c r="S373" s="195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</row>
    <row r="374" spans="17:45" s="54" customFormat="1" x14ac:dyDescent="0.25">
      <c r="Q374" s="195"/>
      <c r="R374" s="195"/>
      <c r="S374" s="195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</row>
    <row r="375" spans="17:45" s="54" customFormat="1" x14ac:dyDescent="0.25">
      <c r="Q375" s="195"/>
      <c r="R375" s="195"/>
      <c r="S375" s="195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</row>
    <row r="376" spans="17:45" s="54" customFormat="1" x14ac:dyDescent="0.25">
      <c r="Q376" s="195"/>
      <c r="R376" s="195"/>
      <c r="S376" s="195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</row>
    <row r="377" spans="17:45" s="54" customFormat="1" x14ac:dyDescent="0.25">
      <c r="Q377" s="195"/>
      <c r="R377" s="195"/>
      <c r="S377" s="195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</row>
    <row r="378" spans="17:45" s="54" customFormat="1" x14ac:dyDescent="0.25">
      <c r="Q378" s="195"/>
      <c r="R378" s="195"/>
      <c r="S378" s="195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</row>
    <row r="379" spans="17:45" s="54" customFormat="1" x14ac:dyDescent="0.25">
      <c r="Q379" s="195"/>
      <c r="R379" s="195"/>
      <c r="S379" s="195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</row>
    <row r="380" spans="17:45" s="54" customFormat="1" x14ac:dyDescent="0.25">
      <c r="Q380" s="195"/>
      <c r="R380" s="195"/>
      <c r="S380" s="195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</row>
    <row r="381" spans="17:45" s="54" customFormat="1" x14ac:dyDescent="0.25">
      <c r="Q381" s="195"/>
      <c r="R381" s="195"/>
      <c r="S381" s="195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</row>
    <row r="382" spans="17:45" s="54" customFormat="1" x14ac:dyDescent="0.25">
      <c r="Q382" s="195"/>
      <c r="R382" s="195"/>
      <c r="S382" s="195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</row>
    <row r="383" spans="17:45" s="54" customFormat="1" x14ac:dyDescent="0.25">
      <c r="Q383" s="195"/>
      <c r="R383" s="195"/>
      <c r="S383" s="195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</row>
    <row r="384" spans="17:45" s="54" customFormat="1" x14ac:dyDescent="0.25">
      <c r="Q384" s="195"/>
      <c r="R384" s="195"/>
      <c r="S384" s="195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</row>
    <row r="385" spans="17:45" s="54" customFormat="1" x14ac:dyDescent="0.25">
      <c r="Q385" s="195"/>
      <c r="R385" s="195"/>
      <c r="S385" s="195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</row>
    <row r="386" spans="17:45" s="54" customFormat="1" x14ac:dyDescent="0.25">
      <c r="Q386" s="195"/>
      <c r="R386" s="195"/>
      <c r="S386" s="195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</row>
    <row r="387" spans="17:45" s="54" customFormat="1" x14ac:dyDescent="0.25">
      <c r="Q387" s="195"/>
      <c r="R387" s="195"/>
      <c r="S387" s="195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</row>
    <row r="388" spans="17:45" s="54" customFormat="1" x14ac:dyDescent="0.25">
      <c r="Q388" s="195"/>
      <c r="R388" s="195"/>
      <c r="S388" s="195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</row>
    <row r="389" spans="17:45" s="54" customFormat="1" x14ac:dyDescent="0.25">
      <c r="Q389" s="195"/>
      <c r="R389" s="195"/>
      <c r="S389" s="195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</row>
    <row r="390" spans="17:45" s="54" customFormat="1" x14ac:dyDescent="0.25">
      <c r="Q390" s="195"/>
      <c r="R390" s="195"/>
      <c r="S390" s="195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</row>
    <row r="391" spans="17:45" s="54" customFormat="1" x14ac:dyDescent="0.25">
      <c r="Q391" s="195"/>
      <c r="R391" s="195"/>
      <c r="S391" s="195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</row>
    <row r="392" spans="17:45" s="54" customFormat="1" x14ac:dyDescent="0.25">
      <c r="Q392" s="195"/>
      <c r="R392" s="195"/>
      <c r="S392" s="195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</row>
    <row r="393" spans="17:45" s="54" customFormat="1" x14ac:dyDescent="0.25">
      <c r="Q393" s="195"/>
      <c r="R393" s="195"/>
      <c r="S393" s="195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</row>
    <row r="394" spans="17:45" s="54" customFormat="1" x14ac:dyDescent="0.25">
      <c r="Q394" s="195"/>
      <c r="R394" s="195"/>
      <c r="S394" s="195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</row>
    <row r="395" spans="17:45" s="54" customFormat="1" x14ac:dyDescent="0.25">
      <c r="Q395" s="195"/>
      <c r="R395" s="195"/>
      <c r="S395" s="195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</row>
    <row r="396" spans="17:45" s="54" customFormat="1" x14ac:dyDescent="0.25">
      <c r="Q396" s="195"/>
      <c r="R396" s="195"/>
      <c r="S396" s="195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</row>
    <row r="397" spans="17:45" s="54" customFormat="1" x14ac:dyDescent="0.25">
      <c r="Q397" s="195"/>
      <c r="R397" s="195"/>
      <c r="S397" s="195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</row>
    <row r="398" spans="17:45" s="54" customFormat="1" x14ac:dyDescent="0.25">
      <c r="Q398" s="195"/>
      <c r="R398" s="195"/>
      <c r="S398" s="195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</row>
    <row r="399" spans="17:45" s="54" customFormat="1" x14ac:dyDescent="0.25">
      <c r="Q399" s="195"/>
      <c r="R399" s="195"/>
      <c r="S399" s="195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</row>
    <row r="400" spans="17:45" s="54" customFormat="1" x14ac:dyDescent="0.25">
      <c r="Q400" s="195"/>
      <c r="R400" s="195"/>
      <c r="S400" s="195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</row>
    <row r="401" spans="17:45" s="54" customFormat="1" x14ac:dyDescent="0.25">
      <c r="Q401" s="195"/>
      <c r="R401" s="195"/>
      <c r="S401" s="195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</row>
    <row r="402" spans="17:45" s="54" customFormat="1" x14ac:dyDescent="0.25">
      <c r="Q402" s="195"/>
      <c r="R402" s="195"/>
      <c r="S402" s="195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</row>
    <row r="403" spans="17:45" s="54" customFormat="1" x14ac:dyDescent="0.25">
      <c r="Q403" s="195"/>
      <c r="R403" s="195"/>
      <c r="S403" s="195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</row>
    <row r="404" spans="17:45" s="54" customFormat="1" x14ac:dyDescent="0.25">
      <c r="Q404" s="195"/>
      <c r="R404" s="195"/>
      <c r="S404" s="195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</row>
    <row r="405" spans="17:45" s="54" customFormat="1" x14ac:dyDescent="0.25">
      <c r="Q405" s="195"/>
      <c r="R405" s="195"/>
      <c r="S405" s="195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</row>
    <row r="406" spans="17:45" s="54" customFormat="1" x14ac:dyDescent="0.25">
      <c r="Q406" s="195"/>
      <c r="R406" s="195"/>
      <c r="S406" s="195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</row>
    <row r="407" spans="17:45" s="54" customFormat="1" x14ac:dyDescent="0.25">
      <c r="Q407" s="195"/>
      <c r="R407" s="195"/>
      <c r="S407" s="195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</row>
    <row r="408" spans="17:45" s="54" customFormat="1" x14ac:dyDescent="0.25">
      <c r="Q408" s="195"/>
      <c r="R408" s="195"/>
      <c r="S408" s="195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</row>
    <row r="409" spans="17:45" s="54" customFormat="1" x14ac:dyDescent="0.25">
      <c r="Q409" s="195"/>
      <c r="R409" s="195"/>
      <c r="S409" s="195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</row>
    <row r="410" spans="17:45" s="54" customFormat="1" x14ac:dyDescent="0.25">
      <c r="Q410" s="195"/>
      <c r="R410" s="195"/>
      <c r="S410" s="195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</row>
    <row r="411" spans="17:45" s="54" customFormat="1" x14ac:dyDescent="0.25">
      <c r="Q411" s="195"/>
      <c r="R411" s="195"/>
      <c r="S411" s="195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</row>
    <row r="412" spans="17:45" s="54" customFormat="1" x14ac:dyDescent="0.25">
      <c r="Q412" s="195"/>
      <c r="R412" s="195"/>
      <c r="S412" s="195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</row>
    <row r="413" spans="17:45" s="54" customFormat="1" x14ac:dyDescent="0.25">
      <c r="Q413" s="195"/>
      <c r="R413" s="195"/>
      <c r="S413" s="195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</row>
    <row r="414" spans="17:45" s="54" customFormat="1" x14ac:dyDescent="0.25">
      <c r="Q414" s="195"/>
      <c r="R414" s="195"/>
      <c r="S414" s="195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</row>
    <row r="415" spans="17:45" s="54" customFormat="1" x14ac:dyDescent="0.25">
      <c r="Q415" s="195"/>
      <c r="R415" s="195"/>
      <c r="S415" s="195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</row>
    <row r="416" spans="17:45" s="54" customFormat="1" x14ac:dyDescent="0.25">
      <c r="Q416" s="195"/>
      <c r="R416" s="195"/>
      <c r="S416" s="195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</row>
    <row r="417" spans="17:45" s="54" customFormat="1" x14ac:dyDescent="0.25">
      <c r="Q417" s="195"/>
      <c r="R417" s="195"/>
      <c r="S417" s="195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</row>
    <row r="418" spans="17:45" s="54" customFormat="1" x14ac:dyDescent="0.25">
      <c r="Q418" s="195"/>
      <c r="R418" s="195"/>
      <c r="S418" s="195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</row>
    <row r="419" spans="17:45" s="54" customFormat="1" x14ac:dyDescent="0.25">
      <c r="Q419" s="195"/>
      <c r="R419" s="195"/>
      <c r="S419" s="195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</row>
    <row r="420" spans="17:45" s="54" customFormat="1" x14ac:dyDescent="0.25">
      <c r="Q420" s="195"/>
      <c r="R420" s="195"/>
      <c r="S420" s="195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</row>
    <row r="421" spans="17:45" s="54" customFormat="1" x14ac:dyDescent="0.25">
      <c r="Q421" s="195"/>
      <c r="R421" s="195"/>
      <c r="S421" s="195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</row>
    <row r="422" spans="17:45" s="54" customFormat="1" x14ac:dyDescent="0.25">
      <c r="Q422" s="195"/>
      <c r="R422" s="195"/>
      <c r="S422" s="195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</row>
    <row r="423" spans="17:45" s="54" customFormat="1" x14ac:dyDescent="0.25">
      <c r="Q423" s="195"/>
      <c r="R423" s="195"/>
      <c r="S423" s="195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</row>
    <row r="424" spans="17:45" s="54" customFormat="1" x14ac:dyDescent="0.25">
      <c r="Q424" s="195"/>
      <c r="R424" s="195"/>
      <c r="S424" s="195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</row>
    <row r="425" spans="17:45" s="54" customFormat="1" x14ac:dyDescent="0.25">
      <c r="Q425" s="195"/>
      <c r="R425" s="195"/>
      <c r="S425" s="195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</row>
    <row r="426" spans="17:45" s="54" customFormat="1" x14ac:dyDescent="0.25">
      <c r="Q426" s="195"/>
      <c r="R426" s="195"/>
      <c r="S426" s="195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</row>
    <row r="427" spans="17:45" s="54" customFormat="1" x14ac:dyDescent="0.25">
      <c r="Q427" s="195"/>
      <c r="R427" s="195"/>
      <c r="S427" s="195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</row>
    <row r="428" spans="17:45" s="54" customFormat="1" x14ac:dyDescent="0.25">
      <c r="Q428" s="195"/>
      <c r="R428" s="195"/>
      <c r="S428" s="195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</row>
    <row r="429" spans="17:45" s="54" customFormat="1" x14ac:dyDescent="0.25">
      <c r="Q429" s="195"/>
      <c r="R429" s="195"/>
      <c r="S429" s="195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</row>
    <row r="430" spans="17:45" s="54" customFormat="1" x14ac:dyDescent="0.25">
      <c r="Q430" s="195"/>
      <c r="R430" s="195"/>
      <c r="S430" s="195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</row>
    <row r="431" spans="17:45" s="54" customFormat="1" x14ac:dyDescent="0.25">
      <c r="Q431" s="195"/>
      <c r="R431" s="195"/>
      <c r="S431" s="195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</row>
    <row r="432" spans="17:45" s="54" customFormat="1" x14ac:dyDescent="0.25">
      <c r="Q432" s="195"/>
      <c r="R432" s="195"/>
      <c r="S432" s="195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</row>
    <row r="433" spans="17:45" s="54" customFormat="1" x14ac:dyDescent="0.25">
      <c r="Q433" s="195"/>
      <c r="R433" s="195"/>
      <c r="S433" s="195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</row>
    <row r="434" spans="17:45" s="54" customFormat="1" x14ac:dyDescent="0.25">
      <c r="Q434" s="195"/>
      <c r="R434" s="195"/>
      <c r="S434" s="195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</row>
    <row r="435" spans="17:45" s="54" customFormat="1" x14ac:dyDescent="0.25">
      <c r="Q435" s="195"/>
      <c r="R435" s="195"/>
      <c r="S435" s="195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</row>
    <row r="436" spans="17:45" s="54" customFormat="1" x14ac:dyDescent="0.25">
      <c r="Q436" s="195"/>
      <c r="R436" s="195"/>
      <c r="S436" s="195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</row>
    <row r="437" spans="17:45" s="54" customFormat="1" x14ac:dyDescent="0.25">
      <c r="Q437" s="195"/>
      <c r="R437" s="195"/>
      <c r="S437" s="195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</row>
    <row r="438" spans="17:45" s="54" customFormat="1" x14ac:dyDescent="0.25">
      <c r="Q438" s="195"/>
      <c r="R438" s="195"/>
      <c r="S438" s="195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</row>
    <row r="439" spans="17:45" s="54" customFormat="1" x14ac:dyDescent="0.25">
      <c r="Q439" s="195"/>
      <c r="R439" s="195"/>
      <c r="S439" s="195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</row>
    <row r="440" spans="17:45" s="54" customFormat="1" x14ac:dyDescent="0.25">
      <c r="Q440" s="195"/>
      <c r="R440" s="195"/>
      <c r="S440" s="195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</row>
    <row r="441" spans="17:45" s="54" customFormat="1" x14ac:dyDescent="0.25">
      <c r="Q441" s="195"/>
      <c r="R441" s="195"/>
      <c r="S441" s="195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</row>
    <row r="442" spans="17:45" s="54" customFormat="1" x14ac:dyDescent="0.25">
      <c r="Q442" s="195"/>
      <c r="R442" s="195"/>
      <c r="S442" s="195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</row>
    <row r="443" spans="17:45" s="54" customFormat="1" x14ac:dyDescent="0.25">
      <c r="Q443" s="195"/>
      <c r="R443" s="195"/>
      <c r="S443" s="195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</row>
    <row r="444" spans="17:45" s="54" customFormat="1" x14ac:dyDescent="0.25">
      <c r="Q444" s="195"/>
      <c r="R444" s="195"/>
      <c r="S444" s="195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</row>
    <row r="445" spans="17:45" s="54" customFormat="1" x14ac:dyDescent="0.25">
      <c r="Q445" s="195"/>
      <c r="R445" s="195"/>
      <c r="S445" s="195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</row>
    <row r="446" spans="17:45" s="54" customFormat="1" x14ac:dyDescent="0.25">
      <c r="Q446" s="195"/>
      <c r="R446" s="195"/>
      <c r="S446" s="195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</row>
    <row r="447" spans="17:45" s="54" customFormat="1" x14ac:dyDescent="0.25">
      <c r="Q447" s="195"/>
      <c r="R447" s="195"/>
      <c r="S447" s="195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</row>
    <row r="448" spans="17:45" s="54" customFormat="1" x14ac:dyDescent="0.25">
      <c r="Q448" s="195"/>
      <c r="R448" s="195"/>
      <c r="S448" s="195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</row>
    <row r="449" spans="17:45" s="54" customFormat="1" x14ac:dyDescent="0.25">
      <c r="Q449" s="195"/>
      <c r="R449" s="195"/>
      <c r="S449" s="195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</row>
    <row r="450" spans="17:45" s="54" customFormat="1" x14ac:dyDescent="0.25">
      <c r="Q450" s="195"/>
      <c r="R450" s="195"/>
      <c r="S450" s="195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</row>
    <row r="451" spans="17:45" s="54" customFormat="1" x14ac:dyDescent="0.25">
      <c r="Q451" s="195"/>
      <c r="R451" s="195"/>
      <c r="S451" s="195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</row>
    <row r="452" spans="17:45" s="54" customFormat="1" x14ac:dyDescent="0.25">
      <c r="Q452" s="195"/>
      <c r="R452" s="195"/>
      <c r="S452" s="195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</row>
    <row r="453" spans="17:45" s="54" customFormat="1" x14ac:dyDescent="0.25">
      <c r="Q453" s="195"/>
      <c r="R453" s="195"/>
      <c r="S453" s="195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</row>
    <row r="454" spans="17:45" s="54" customFormat="1" x14ac:dyDescent="0.25">
      <c r="Q454" s="195"/>
      <c r="R454" s="195"/>
      <c r="S454" s="195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</row>
    <row r="455" spans="17:45" s="54" customFormat="1" x14ac:dyDescent="0.25">
      <c r="Q455" s="195"/>
      <c r="R455" s="195"/>
      <c r="S455" s="195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</row>
    <row r="456" spans="17:45" s="54" customFormat="1" x14ac:dyDescent="0.25">
      <c r="Q456" s="195"/>
      <c r="R456" s="195"/>
      <c r="S456" s="195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</row>
    <row r="457" spans="17:45" s="54" customFormat="1" x14ac:dyDescent="0.25">
      <c r="Q457" s="195"/>
      <c r="R457" s="195"/>
      <c r="S457" s="195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</row>
    <row r="458" spans="17:45" s="54" customFormat="1" x14ac:dyDescent="0.25">
      <c r="Q458" s="195"/>
      <c r="R458" s="195"/>
      <c r="S458" s="195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  <c r="AQ458" s="90"/>
      <c r="AR458" s="90"/>
      <c r="AS458" s="90"/>
    </row>
    <row r="459" spans="17:45" s="54" customFormat="1" x14ac:dyDescent="0.25">
      <c r="Q459" s="195"/>
      <c r="R459" s="195"/>
      <c r="S459" s="195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</row>
    <row r="460" spans="17:45" s="54" customFormat="1" x14ac:dyDescent="0.25">
      <c r="Q460" s="195"/>
      <c r="R460" s="195"/>
      <c r="S460" s="195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  <c r="AQ460" s="90"/>
      <c r="AR460" s="90"/>
      <c r="AS460" s="90"/>
    </row>
    <row r="461" spans="17:45" s="54" customFormat="1" x14ac:dyDescent="0.25">
      <c r="Q461" s="195"/>
      <c r="R461" s="195"/>
      <c r="S461" s="195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</row>
    <row r="462" spans="17:45" s="54" customFormat="1" x14ac:dyDescent="0.25">
      <c r="Q462" s="195"/>
      <c r="R462" s="195"/>
      <c r="S462" s="195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  <c r="AQ462" s="90"/>
      <c r="AR462" s="90"/>
      <c r="AS462" s="90"/>
    </row>
    <row r="463" spans="17:45" s="54" customFormat="1" x14ac:dyDescent="0.25">
      <c r="Q463" s="195"/>
      <c r="R463" s="195"/>
      <c r="S463" s="195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</row>
    <row r="464" spans="17:45" s="54" customFormat="1" x14ac:dyDescent="0.25">
      <c r="Q464" s="195"/>
      <c r="R464" s="195"/>
      <c r="S464" s="195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90"/>
      <c r="AQ464" s="90"/>
      <c r="AR464" s="90"/>
      <c r="AS464" s="90"/>
    </row>
    <row r="465" spans="17:45" s="54" customFormat="1" x14ac:dyDescent="0.25">
      <c r="Q465" s="195"/>
      <c r="R465" s="195"/>
      <c r="S465" s="195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  <c r="AQ465" s="90"/>
      <c r="AR465" s="90"/>
      <c r="AS465" s="90"/>
    </row>
    <row r="466" spans="17:45" s="54" customFormat="1" x14ac:dyDescent="0.25">
      <c r="Q466" s="195"/>
      <c r="R466" s="195"/>
      <c r="S466" s="195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  <c r="AL466" s="90"/>
      <c r="AM466" s="90"/>
      <c r="AN466" s="90"/>
      <c r="AO466" s="90"/>
      <c r="AP466" s="90"/>
      <c r="AQ466" s="90"/>
      <c r="AR466" s="90"/>
      <c r="AS466" s="90"/>
    </row>
    <row r="467" spans="17:45" s="54" customFormat="1" x14ac:dyDescent="0.25">
      <c r="Q467" s="195"/>
      <c r="R467" s="195"/>
      <c r="S467" s="195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  <c r="AP467" s="90"/>
      <c r="AQ467" s="90"/>
      <c r="AR467" s="90"/>
      <c r="AS467" s="90"/>
    </row>
    <row r="468" spans="17:45" s="54" customFormat="1" x14ac:dyDescent="0.25">
      <c r="Q468" s="195"/>
      <c r="R468" s="195"/>
      <c r="S468" s="195"/>
      <c r="T468" s="90"/>
      <c r="U468" s="90"/>
      <c r="V468" s="90"/>
      <c r="W468" s="90"/>
      <c r="X468" s="90"/>
      <c r="Y468" s="90"/>
      <c r="Z468" s="90"/>
      <c r="AA468" s="90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  <c r="AL468" s="90"/>
      <c r="AM468" s="90"/>
      <c r="AN468" s="90"/>
      <c r="AO468" s="90"/>
      <c r="AP468" s="90"/>
      <c r="AQ468" s="90"/>
      <c r="AR468" s="90"/>
      <c r="AS468" s="90"/>
    </row>
    <row r="469" spans="17:45" s="54" customFormat="1" x14ac:dyDescent="0.25">
      <c r="Q469" s="195"/>
      <c r="R469" s="195"/>
      <c r="S469" s="195"/>
      <c r="T469" s="90"/>
      <c r="U469" s="90"/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  <c r="AP469" s="90"/>
      <c r="AQ469" s="90"/>
      <c r="AR469" s="90"/>
      <c r="AS469" s="90"/>
    </row>
    <row r="470" spans="17:45" s="54" customFormat="1" x14ac:dyDescent="0.25">
      <c r="Q470" s="195"/>
      <c r="R470" s="195"/>
      <c r="S470" s="195"/>
      <c r="T470" s="90"/>
      <c r="U470" s="90"/>
      <c r="V470" s="90"/>
      <c r="W470" s="90"/>
      <c r="X470" s="90"/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  <c r="AL470" s="90"/>
      <c r="AM470" s="90"/>
      <c r="AN470" s="90"/>
      <c r="AO470" s="90"/>
      <c r="AP470" s="90"/>
      <c r="AQ470" s="90"/>
      <c r="AR470" s="90"/>
      <c r="AS470" s="90"/>
    </row>
    <row r="471" spans="17:45" s="54" customFormat="1" x14ac:dyDescent="0.25">
      <c r="Q471" s="195"/>
      <c r="R471" s="195"/>
      <c r="S471" s="195"/>
      <c r="T471" s="90"/>
      <c r="U471" s="90"/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  <c r="AP471" s="90"/>
      <c r="AQ471" s="90"/>
      <c r="AR471" s="90"/>
      <c r="AS471" s="90"/>
    </row>
    <row r="472" spans="17:45" s="54" customFormat="1" x14ac:dyDescent="0.25">
      <c r="Q472" s="195"/>
      <c r="R472" s="195"/>
      <c r="S472" s="195"/>
      <c r="T472" s="90"/>
      <c r="U472" s="90"/>
      <c r="V472" s="90"/>
      <c r="W472" s="90"/>
      <c r="X472" s="90"/>
      <c r="Y472" s="90"/>
      <c r="Z472" s="90"/>
      <c r="AA472" s="90"/>
      <c r="AB472" s="90"/>
      <c r="AC472" s="90"/>
      <c r="AD472" s="90"/>
      <c r="AE472" s="90"/>
      <c r="AF472" s="90"/>
      <c r="AG472" s="90"/>
      <c r="AH472" s="90"/>
      <c r="AI472" s="90"/>
      <c r="AJ472" s="90"/>
      <c r="AK472" s="90"/>
      <c r="AL472" s="90"/>
      <c r="AM472" s="90"/>
      <c r="AN472" s="90"/>
      <c r="AO472" s="90"/>
      <c r="AP472" s="90"/>
      <c r="AQ472" s="90"/>
      <c r="AR472" s="90"/>
      <c r="AS472" s="90"/>
    </row>
    <row r="473" spans="17:45" s="54" customFormat="1" x14ac:dyDescent="0.25">
      <c r="Q473" s="195"/>
      <c r="R473" s="195"/>
      <c r="S473" s="195"/>
      <c r="T473" s="90"/>
      <c r="U473" s="90"/>
      <c r="V473" s="90"/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  <c r="AO473" s="90"/>
      <c r="AP473" s="90"/>
      <c r="AQ473" s="90"/>
      <c r="AR473" s="90"/>
      <c r="AS473" s="90"/>
    </row>
    <row r="474" spans="17:45" s="54" customFormat="1" x14ac:dyDescent="0.25">
      <c r="Q474" s="195"/>
      <c r="R474" s="195"/>
      <c r="S474" s="195"/>
      <c r="T474" s="90"/>
      <c r="U474" s="90"/>
      <c r="V474" s="90"/>
      <c r="W474" s="90"/>
      <c r="X474" s="90"/>
      <c r="Y474" s="90"/>
      <c r="Z474" s="90"/>
      <c r="AA474" s="90"/>
      <c r="AB474" s="90"/>
      <c r="AC474" s="90"/>
      <c r="AD474" s="90"/>
      <c r="AE474" s="90"/>
      <c r="AF474" s="90"/>
      <c r="AG474" s="90"/>
      <c r="AH474" s="90"/>
      <c r="AI474" s="90"/>
      <c r="AJ474" s="90"/>
      <c r="AK474" s="90"/>
      <c r="AL474" s="90"/>
      <c r="AM474" s="90"/>
      <c r="AN474" s="90"/>
      <c r="AO474" s="90"/>
      <c r="AP474" s="90"/>
      <c r="AQ474" s="90"/>
      <c r="AR474" s="90"/>
      <c r="AS474" s="90"/>
    </row>
    <row r="475" spans="17:45" s="54" customFormat="1" x14ac:dyDescent="0.25">
      <c r="Q475" s="195"/>
      <c r="R475" s="195"/>
      <c r="S475" s="195"/>
      <c r="T475" s="90"/>
      <c r="U475" s="90"/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  <c r="AP475" s="90"/>
      <c r="AQ475" s="90"/>
      <c r="AR475" s="90"/>
      <c r="AS475" s="90"/>
    </row>
    <row r="476" spans="17:45" s="54" customFormat="1" x14ac:dyDescent="0.25">
      <c r="Q476" s="195"/>
      <c r="R476" s="195"/>
      <c r="S476" s="195"/>
      <c r="T476" s="90"/>
      <c r="U476" s="90"/>
      <c r="V476" s="90"/>
      <c r="W476" s="90"/>
      <c r="X476" s="90"/>
      <c r="Y476" s="90"/>
      <c r="Z476" s="90"/>
      <c r="AA476" s="90"/>
      <c r="AB476" s="90"/>
      <c r="AC476" s="90"/>
      <c r="AD476" s="90"/>
      <c r="AE476" s="90"/>
      <c r="AF476" s="90"/>
      <c r="AG476" s="90"/>
      <c r="AH476" s="90"/>
      <c r="AI476" s="90"/>
      <c r="AJ476" s="90"/>
      <c r="AK476" s="90"/>
      <c r="AL476" s="90"/>
      <c r="AM476" s="90"/>
      <c r="AN476" s="90"/>
      <c r="AO476" s="90"/>
      <c r="AP476" s="90"/>
      <c r="AQ476" s="90"/>
      <c r="AR476" s="90"/>
      <c r="AS476" s="90"/>
    </row>
    <row r="477" spans="17:45" s="54" customFormat="1" x14ac:dyDescent="0.25">
      <c r="Q477" s="195"/>
      <c r="R477" s="195"/>
      <c r="S477" s="195"/>
      <c r="T477" s="90"/>
      <c r="U477" s="90"/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  <c r="AP477" s="90"/>
      <c r="AQ477" s="90"/>
      <c r="AR477" s="90"/>
      <c r="AS477" s="90"/>
    </row>
    <row r="478" spans="17:45" s="54" customFormat="1" x14ac:dyDescent="0.25">
      <c r="Q478" s="195"/>
      <c r="R478" s="195"/>
      <c r="S478" s="195"/>
      <c r="T478" s="90"/>
      <c r="U478" s="90"/>
      <c r="V478" s="90"/>
      <c r="W478" s="90"/>
      <c r="X478" s="90"/>
      <c r="Y478" s="90"/>
      <c r="Z478" s="90"/>
      <c r="AA478" s="90"/>
      <c r="AB478" s="90"/>
      <c r="AC478" s="90"/>
      <c r="AD478" s="90"/>
      <c r="AE478" s="90"/>
      <c r="AF478" s="90"/>
      <c r="AG478" s="90"/>
      <c r="AH478" s="90"/>
      <c r="AI478" s="90"/>
      <c r="AJ478" s="90"/>
      <c r="AK478" s="90"/>
      <c r="AL478" s="90"/>
      <c r="AM478" s="90"/>
      <c r="AN478" s="90"/>
      <c r="AO478" s="90"/>
      <c r="AP478" s="90"/>
      <c r="AQ478" s="90"/>
      <c r="AR478" s="90"/>
      <c r="AS478" s="90"/>
    </row>
    <row r="479" spans="17:45" s="54" customFormat="1" x14ac:dyDescent="0.25">
      <c r="Q479" s="195"/>
      <c r="R479" s="195"/>
      <c r="S479" s="195"/>
      <c r="T479" s="90"/>
      <c r="U479" s="90"/>
      <c r="V479" s="90"/>
      <c r="W479" s="90"/>
      <c r="X479" s="90"/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  <c r="AL479" s="90"/>
      <c r="AM479" s="90"/>
      <c r="AN479" s="90"/>
      <c r="AO479" s="90"/>
      <c r="AP479" s="90"/>
      <c r="AQ479" s="90"/>
      <c r="AR479" s="90"/>
      <c r="AS479" s="90"/>
    </row>
    <row r="480" spans="17:45" s="54" customFormat="1" x14ac:dyDescent="0.25">
      <c r="Q480" s="195"/>
      <c r="R480" s="195"/>
      <c r="S480" s="195"/>
      <c r="T480" s="90"/>
      <c r="U480" s="90"/>
      <c r="V480" s="90"/>
      <c r="W480" s="90"/>
      <c r="X480" s="90"/>
      <c r="Y480" s="90"/>
      <c r="Z480" s="90"/>
      <c r="AA480" s="90"/>
      <c r="AB480" s="90"/>
      <c r="AC480" s="90"/>
      <c r="AD480" s="90"/>
      <c r="AE480" s="90"/>
      <c r="AF480" s="90"/>
      <c r="AG480" s="90"/>
      <c r="AH480" s="90"/>
      <c r="AI480" s="90"/>
      <c r="AJ480" s="90"/>
      <c r="AK480" s="90"/>
      <c r="AL480" s="90"/>
      <c r="AM480" s="90"/>
      <c r="AN480" s="90"/>
      <c r="AO480" s="90"/>
      <c r="AP480" s="90"/>
      <c r="AQ480" s="90"/>
      <c r="AR480" s="90"/>
      <c r="AS480" s="90"/>
    </row>
    <row r="481" spans="17:45" s="54" customFormat="1" x14ac:dyDescent="0.25">
      <c r="Q481" s="195"/>
      <c r="R481" s="195"/>
      <c r="S481" s="195"/>
      <c r="T481" s="90"/>
      <c r="U481" s="90"/>
      <c r="V481" s="90"/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  <c r="AO481" s="90"/>
      <c r="AP481" s="90"/>
      <c r="AQ481" s="90"/>
      <c r="AR481" s="90"/>
      <c r="AS481" s="90"/>
    </row>
    <row r="482" spans="17:45" s="54" customFormat="1" x14ac:dyDescent="0.25">
      <c r="Q482" s="195"/>
      <c r="R482" s="195"/>
      <c r="S482" s="195"/>
      <c r="T482" s="90"/>
      <c r="U482" s="90"/>
      <c r="V482" s="90"/>
      <c r="W482" s="90"/>
      <c r="X482" s="90"/>
      <c r="Y482" s="90"/>
      <c r="Z482" s="90"/>
      <c r="AA482" s="90"/>
      <c r="AB482" s="90"/>
      <c r="AC482" s="90"/>
      <c r="AD482" s="90"/>
      <c r="AE482" s="90"/>
      <c r="AF482" s="90"/>
      <c r="AG482" s="90"/>
      <c r="AH482" s="90"/>
      <c r="AI482" s="90"/>
      <c r="AJ482" s="90"/>
      <c r="AK482" s="90"/>
      <c r="AL482" s="90"/>
      <c r="AM482" s="90"/>
      <c r="AN482" s="90"/>
      <c r="AO482" s="90"/>
      <c r="AP482" s="90"/>
      <c r="AQ482" s="90"/>
      <c r="AR482" s="90"/>
      <c r="AS482" s="90"/>
    </row>
    <row r="483" spans="17:45" s="54" customFormat="1" x14ac:dyDescent="0.25">
      <c r="Q483" s="195"/>
      <c r="R483" s="195"/>
      <c r="S483" s="195"/>
      <c r="T483" s="90"/>
      <c r="U483" s="90"/>
      <c r="V483" s="90"/>
      <c r="W483" s="90"/>
      <c r="X483" s="90"/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  <c r="AL483" s="90"/>
      <c r="AM483" s="90"/>
      <c r="AN483" s="90"/>
      <c r="AO483" s="90"/>
      <c r="AP483" s="90"/>
      <c r="AQ483" s="90"/>
      <c r="AR483" s="90"/>
      <c r="AS483" s="90"/>
    </row>
    <row r="484" spans="17:45" s="54" customFormat="1" x14ac:dyDescent="0.25">
      <c r="Q484" s="195"/>
      <c r="R484" s="195"/>
      <c r="S484" s="195"/>
      <c r="T484" s="90"/>
      <c r="U484" s="90"/>
      <c r="V484" s="90"/>
      <c r="W484" s="90"/>
      <c r="X484" s="90"/>
      <c r="Y484" s="90"/>
      <c r="Z484" s="90"/>
      <c r="AA484" s="90"/>
      <c r="AB484" s="90"/>
      <c r="AC484" s="90"/>
      <c r="AD484" s="90"/>
      <c r="AE484" s="90"/>
      <c r="AF484" s="90"/>
      <c r="AG484" s="90"/>
      <c r="AH484" s="90"/>
      <c r="AI484" s="90"/>
      <c r="AJ484" s="90"/>
      <c r="AK484" s="90"/>
      <c r="AL484" s="90"/>
      <c r="AM484" s="90"/>
      <c r="AN484" s="90"/>
      <c r="AO484" s="90"/>
      <c r="AP484" s="90"/>
      <c r="AQ484" s="90"/>
      <c r="AR484" s="90"/>
      <c r="AS484" s="90"/>
    </row>
    <row r="485" spans="17:45" s="54" customFormat="1" x14ac:dyDescent="0.25">
      <c r="Q485" s="195"/>
      <c r="R485" s="195"/>
      <c r="S485" s="195"/>
      <c r="T485" s="90"/>
      <c r="U485" s="90"/>
      <c r="V485" s="90"/>
      <c r="W485" s="90"/>
      <c r="X485" s="90"/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90"/>
      <c r="AN485" s="90"/>
      <c r="AO485" s="90"/>
      <c r="AP485" s="90"/>
      <c r="AQ485" s="90"/>
      <c r="AR485" s="90"/>
      <c r="AS485" s="90"/>
    </row>
    <row r="486" spans="17:45" s="54" customFormat="1" x14ac:dyDescent="0.25">
      <c r="Q486" s="195"/>
      <c r="R486" s="195"/>
      <c r="S486" s="195"/>
      <c r="T486" s="90"/>
      <c r="U486" s="90"/>
      <c r="V486" s="90"/>
      <c r="W486" s="90"/>
      <c r="X486" s="90"/>
      <c r="Y486" s="90"/>
      <c r="Z486" s="90"/>
      <c r="AA486" s="90"/>
      <c r="AB486" s="90"/>
      <c r="AC486" s="90"/>
      <c r="AD486" s="90"/>
      <c r="AE486" s="90"/>
      <c r="AF486" s="90"/>
      <c r="AG486" s="90"/>
      <c r="AH486" s="90"/>
      <c r="AI486" s="90"/>
      <c r="AJ486" s="90"/>
      <c r="AK486" s="90"/>
      <c r="AL486" s="90"/>
      <c r="AM486" s="90"/>
      <c r="AN486" s="90"/>
      <c r="AO486" s="90"/>
      <c r="AP486" s="90"/>
      <c r="AQ486" s="90"/>
      <c r="AR486" s="90"/>
      <c r="AS486" s="90"/>
    </row>
    <row r="487" spans="17:45" s="54" customFormat="1" x14ac:dyDescent="0.25">
      <c r="Q487" s="195"/>
      <c r="R487" s="195"/>
      <c r="S487" s="195"/>
      <c r="T487" s="90"/>
      <c r="U487" s="90"/>
      <c r="V487" s="90"/>
      <c r="W487" s="90"/>
      <c r="X487" s="90"/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  <c r="AL487" s="90"/>
      <c r="AM487" s="90"/>
      <c r="AN487" s="90"/>
      <c r="AO487" s="90"/>
      <c r="AP487" s="90"/>
      <c r="AQ487" s="90"/>
      <c r="AR487" s="90"/>
      <c r="AS487" s="90"/>
    </row>
    <row r="488" spans="17:45" s="54" customFormat="1" x14ac:dyDescent="0.25">
      <c r="Q488" s="195"/>
      <c r="R488" s="195"/>
      <c r="S488" s="195"/>
      <c r="T488" s="90"/>
      <c r="U488" s="90"/>
      <c r="V488" s="90"/>
      <c r="W488" s="90"/>
      <c r="X488" s="90"/>
      <c r="Y488" s="90"/>
      <c r="Z488" s="90"/>
      <c r="AA488" s="90"/>
      <c r="AB488" s="90"/>
      <c r="AC488" s="90"/>
      <c r="AD488" s="90"/>
      <c r="AE488" s="90"/>
      <c r="AF488" s="90"/>
      <c r="AG488" s="90"/>
      <c r="AH488" s="90"/>
      <c r="AI488" s="90"/>
      <c r="AJ488" s="90"/>
      <c r="AK488" s="90"/>
      <c r="AL488" s="90"/>
      <c r="AM488" s="90"/>
      <c r="AN488" s="90"/>
      <c r="AO488" s="90"/>
      <c r="AP488" s="90"/>
      <c r="AQ488" s="90"/>
      <c r="AR488" s="90"/>
      <c r="AS488" s="90"/>
    </row>
    <row r="489" spans="17:45" s="54" customFormat="1" x14ac:dyDescent="0.25">
      <c r="Q489" s="195"/>
      <c r="R489" s="195"/>
      <c r="S489" s="195"/>
      <c r="T489" s="90"/>
      <c r="U489" s="90"/>
      <c r="V489" s="90"/>
      <c r="W489" s="90"/>
      <c r="X489" s="90"/>
      <c r="Y489" s="90"/>
      <c r="Z489" s="90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  <c r="AM489" s="90"/>
      <c r="AN489" s="90"/>
      <c r="AO489" s="90"/>
      <c r="AP489" s="90"/>
      <c r="AQ489" s="90"/>
      <c r="AR489" s="90"/>
      <c r="AS489" s="90"/>
    </row>
    <row r="490" spans="17:45" s="54" customFormat="1" x14ac:dyDescent="0.25">
      <c r="Q490" s="195"/>
      <c r="R490" s="195"/>
      <c r="S490" s="195"/>
      <c r="T490" s="90"/>
      <c r="U490" s="90"/>
      <c r="V490" s="90"/>
      <c r="W490" s="90"/>
      <c r="X490" s="90"/>
      <c r="Y490" s="90"/>
      <c r="Z490" s="90"/>
      <c r="AA490" s="90"/>
      <c r="AB490" s="90"/>
      <c r="AC490" s="90"/>
      <c r="AD490" s="90"/>
      <c r="AE490" s="90"/>
      <c r="AF490" s="90"/>
      <c r="AG490" s="90"/>
      <c r="AH490" s="90"/>
      <c r="AI490" s="90"/>
      <c r="AJ490" s="90"/>
      <c r="AK490" s="90"/>
      <c r="AL490" s="90"/>
      <c r="AM490" s="90"/>
      <c r="AN490" s="90"/>
      <c r="AO490" s="90"/>
      <c r="AP490" s="90"/>
      <c r="AQ490" s="90"/>
      <c r="AR490" s="90"/>
      <c r="AS490" s="90"/>
    </row>
    <row r="491" spans="17:45" s="54" customFormat="1" x14ac:dyDescent="0.25">
      <c r="Q491" s="195"/>
      <c r="R491" s="195"/>
      <c r="S491" s="195"/>
      <c r="T491" s="90"/>
      <c r="U491" s="90"/>
      <c r="V491" s="90"/>
      <c r="W491" s="90"/>
      <c r="X491" s="90"/>
      <c r="Y491" s="90"/>
      <c r="Z491" s="90"/>
      <c r="AA491" s="90"/>
      <c r="AB491" s="90"/>
      <c r="AC491" s="90"/>
      <c r="AD491" s="90"/>
      <c r="AE491" s="90"/>
      <c r="AF491" s="90"/>
      <c r="AG491" s="90"/>
      <c r="AH491" s="90"/>
      <c r="AI491" s="90"/>
      <c r="AJ491" s="90"/>
      <c r="AK491" s="90"/>
      <c r="AL491" s="90"/>
      <c r="AM491" s="90"/>
      <c r="AN491" s="90"/>
      <c r="AO491" s="90"/>
      <c r="AP491" s="90"/>
      <c r="AQ491" s="90"/>
      <c r="AR491" s="90"/>
      <c r="AS491" s="90"/>
    </row>
    <row r="492" spans="17:45" s="54" customFormat="1" x14ac:dyDescent="0.25">
      <c r="Q492" s="195"/>
      <c r="R492" s="195"/>
      <c r="S492" s="195"/>
      <c r="T492" s="90"/>
      <c r="U492" s="90"/>
      <c r="V492" s="90"/>
      <c r="W492" s="90"/>
      <c r="X492" s="90"/>
      <c r="Y492" s="90"/>
      <c r="Z492" s="90"/>
      <c r="AA492" s="90"/>
      <c r="AB492" s="90"/>
      <c r="AC492" s="90"/>
      <c r="AD492" s="90"/>
      <c r="AE492" s="90"/>
      <c r="AF492" s="90"/>
      <c r="AG492" s="90"/>
      <c r="AH492" s="90"/>
      <c r="AI492" s="90"/>
      <c r="AJ492" s="90"/>
      <c r="AK492" s="90"/>
      <c r="AL492" s="90"/>
      <c r="AM492" s="90"/>
      <c r="AN492" s="90"/>
      <c r="AO492" s="90"/>
      <c r="AP492" s="90"/>
      <c r="AQ492" s="90"/>
      <c r="AR492" s="90"/>
      <c r="AS492" s="90"/>
    </row>
    <row r="493" spans="17:45" s="54" customFormat="1" x14ac:dyDescent="0.25">
      <c r="Q493" s="195"/>
      <c r="R493" s="195"/>
      <c r="S493" s="195"/>
      <c r="T493" s="90"/>
      <c r="U493" s="90"/>
      <c r="V493" s="90"/>
      <c r="W493" s="90"/>
      <c r="X493" s="90"/>
      <c r="Y493" s="90"/>
      <c r="Z493" s="90"/>
      <c r="AA493" s="90"/>
      <c r="AB493" s="90"/>
      <c r="AC493" s="90"/>
      <c r="AD493" s="90"/>
      <c r="AE493" s="90"/>
      <c r="AF493" s="90"/>
      <c r="AG493" s="90"/>
      <c r="AH493" s="90"/>
      <c r="AI493" s="90"/>
      <c r="AJ493" s="90"/>
      <c r="AK493" s="90"/>
      <c r="AL493" s="90"/>
      <c r="AM493" s="90"/>
      <c r="AN493" s="90"/>
      <c r="AO493" s="90"/>
      <c r="AP493" s="90"/>
      <c r="AQ493" s="90"/>
      <c r="AR493" s="90"/>
      <c r="AS493" s="90"/>
    </row>
    <row r="494" spans="17:45" s="54" customFormat="1" x14ac:dyDescent="0.25">
      <c r="Q494" s="195"/>
      <c r="R494" s="195"/>
      <c r="S494" s="195"/>
      <c r="T494" s="90"/>
      <c r="U494" s="90"/>
      <c r="V494" s="90"/>
      <c r="W494" s="90"/>
      <c r="X494" s="90"/>
      <c r="Y494" s="90"/>
      <c r="Z494" s="90"/>
      <c r="AA494" s="90"/>
      <c r="AB494" s="90"/>
      <c r="AC494" s="90"/>
      <c r="AD494" s="90"/>
      <c r="AE494" s="90"/>
      <c r="AF494" s="90"/>
      <c r="AG494" s="90"/>
      <c r="AH494" s="90"/>
      <c r="AI494" s="90"/>
      <c r="AJ494" s="90"/>
      <c r="AK494" s="90"/>
      <c r="AL494" s="90"/>
      <c r="AM494" s="90"/>
      <c r="AN494" s="90"/>
      <c r="AO494" s="90"/>
      <c r="AP494" s="90"/>
      <c r="AQ494" s="90"/>
      <c r="AR494" s="90"/>
      <c r="AS494" s="90"/>
    </row>
    <row r="495" spans="17:45" s="54" customFormat="1" x14ac:dyDescent="0.25">
      <c r="Q495" s="195"/>
      <c r="R495" s="195"/>
      <c r="S495" s="195"/>
      <c r="T495" s="90"/>
      <c r="U495" s="90"/>
      <c r="V495" s="90"/>
      <c r="W495" s="90"/>
      <c r="X495" s="90"/>
      <c r="Y495" s="90"/>
      <c r="Z495" s="90"/>
      <c r="AA495" s="90"/>
      <c r="AB495" s="90"/>
      <c r="AC495" s="90"/>
      <c r="AD495" s="90"/>
      <c r="AE495" s="90"/>
      <c r="AF495" s="90"/>
      <c r="AG495" s="90"/>
      <c r="AH495" s="90"/>
      <c r="AI495" s="90"/>
      <c r="AJ495" s="90"/>
      <c r="AK495" s="90"/>
      <c r="AL495" s="90"/>
      <c r="AM495" s="90"/>
      <c r="AN495" s="90"/>
      <c r="AO495" s="90"/>
      <c r="AP495" s="90"/>
      <c r="AQ495" s="90"/>
      <c r="AR495" s="90"/>
      <c r="AS495" s="90"/>
    </row>
    <row r="496" spans="17:45" s="54" customFormat="1" x14ac:dyDescent="0.25">
      <c r="Q496" s="195"/>
      <c r="R496" s="195"/>
      <c r="S496" s="195"/>
      <c r="T496" s="90"/>
      <c r="U496" s="90"/>
      <c r="V496" s="90"/>
      <c r="W496" s="90"/>
      <c r="X496" s="90"/>
      <c r="Y496" s="90"/>
      <c r="Z496" s="90"/>
      <c r="AA496" s="90"/>
      <c r="AB496" s="90"/>
      <c r="AC496" s="90"/>
      <c r="AD496" s="90"/>
      <c r="AE496" s="90"/>
      <c r="AF496" s="90"/>
      <c r="AG496" s="90"/>
      <c r="AH496" s="90"/>
      <c r="AI496" s="90"/>
      <c r="AJ496" s="90"/>
      <c r="AK496" s="90"/>
      <c r="AL496" s="90"/>
      <c r="AM496" s="90"/>
      <c r="AN496" s="90"/>
      <c r="AO496" s="90"/>
      <c r="AP496" s="90"/>
      <c r="AQ496" s="90"/>
      <c r="AR496" s="90"/>
      <c r="AS496" s="90"/>
    </row>
    <row r="497" spans="17:45" s="54" customFormat="1" x14ac:dyDescent="0.25">
      <c r="Q497" s="195"/>
      <c r="R497" s="195"/>
      <c r="S497" s="195"/>
      <c r="T497" s="90"/>
      <c r="U497" s="90"/>
      <c r="V497" s="90"/>
      <c r="W497" s="90"/>
      <c r="X497" s="90"/>
      <c r="Y497" s="90"/>
      <c r="Z497" s="90"/>
      <c r="AA497" s="90"/>
      <c r="AB497" s="90"/>
      <c r="AC497" s="90"/>
      <c r="AD497" s="90"/>
      <c r="AE497" s="90"/>
      <c r="AF497" s="90"/>
      <c r="AG497" s="90"/>
      <c r="AH497" s="90"/>
      <c r="AI497" s="90"/>
      <c r="AJ497" s="90"/>
      <c r="AK497" s="90"/>
      <c r="AL497" s="90"/>
      <c r="AM497" s="90"/>
      <c r="AN497" s="90"/>
      <c r="AO497" s="90"/>
      <c r="AP497" s="90"/>
      <c r="AQ497" s="90"/>
      <c r="AR497" s="90"/>
      <c r="AS497" s="90"/>
    </row>
    <row r="498" spans="17:45" s="54" customFormat="1" x14ac:dyDescent="0.25">
      <c r="Q498" s="195"/>
      <c r="R498" s="195"/>
      <c r="S498" s="195"/>
      <c r="T498" s="90"/>
      <c r="U498" s="90"/>
      <c r="V498" s="90"/>
      <c r="W498" s="90"/>
      <c r="X498" s="90"/>
      <c r="Y498" s="90"/>
      <c r="Z498" s="90"/>
      <c r="AA498" s="90"/>
      <c r="AB498" s="90"/>
      <c r="AC498" s="90"/>
      <c r="AD498" s="90"/>
      <c r="AE498" s="90"/>
      <c r="AF498" s="90"/>
      <c r="AG498" s="90"/>
      <c r="AH498" s="90"/>
      <c r="AI498" s="90"/>
      <c r="AJ498" s="90"/>
      <c r="AK498" s="90"/>
      <c r="AL498" s="90"/>
      <c r="AM498" s="90"/>
      <c r="AN498" s="90"/>
      <c r="AO498" s="90"/>
      <c r="AP498" s="90"/>
      <c r="AQ498" s="90"/>
      <c r="AR498" s="90"/>
      <c r="AS498" s="90"/>
    </row>
    <row r="499" spans="17:45" s="54" customFormat="1" x14ac:dyDescent="0.25">
      <c r="Q499" s="195"/>
      <c r="R499" s="195"/>
      <c r="S499" s="195"/>
      <c r="T499" s="90"/>
      <c r="U499" s="90"/>
      <c r="V499" s="90"/>
      <c r="W499" s="90"/>
      <c r="X499" s="90"/>
      <c r="Y499" s="90"/>
      <c r="Z499" s="90"/>
      <c r="AA499" s="90"/>
      <c r="AB499" s="90"/>
      <c r="AC499" s="90"/>
      <c r="AD499" s="90"/>
      <c r="AE499" s="90"/>
      <c r="AF499" s="90"/>
      <c r="AG499" s="90"/>
      <c r="AH499" s="90"/>
      <c r="AI499" s="90"/>
      <c r="AJ499" s="90"/>
      <c r="AK499" s="90"/>
      <c r="AL499" s="90"/>
      <c r="AM499" s="90"/>
      <c r="AN499" s="90"/>
      <c r="AO499" s="90"/>
      <c r="AP499" s="90"/>
      <c r="AQ499" s="90"/>
      <c r="AR499" s="90"/>
      <c r="AS499" s="90"/>
    </row>
    <row r="500" spans="17:45" s="54" customFormat="1" x14ac:dyDescent="0.25">
      <c r="Q500" s="195"/>
      <c r="R500" s="195"/>
      <c r="S500" s="195"/>
      <c r="T500" s="90"/>
      <c r="U500" s="90"/>
      <c r="V500" s="90"/>
      <c r="W500" s="90"/>
      <c r="X500" s="90"/>
      <c r="Y500" s="90"/>
      <c r="Z500" s="90"/>
      <c r="AA500" s="90"/>
      <c r="AB500" s="90"/>
      <c r="AC500" s="90"/>
      <c r="AD500" s="90"/>
      <c r="AE500" s="90"/>
      <c r="AF500" s="90"/>
      <c r="AG500" s="90"/>
      <c r="AH500" s="90"/>
      <c r="AI500" s="90"/>
      <c r="AJ500" s="90"/>
      <c r="AK500" s="90"/>
      <c r="AL500" s="90"/>
      <c r="AM500" s="90"/>
      <c r="AN500" s="90"/>
      <c r="AO500" s="90"/>
      <c r="AP500" s="90"/>
      <c r="AQ500" s="90"/>
      <c r="AR500" s="90"/>
      <c r="AS500" s="90"/>
    </row>
    <row r="501" spans="17:45" s="54" customFormat="1" x14ac:dyDescent="0.25">
      <c r="Q501" s="195"/>
      <c r="R501" s="195"/>
      <c r="S501" s="195"/>
      <c r="T501" s="90"/>
      <c r="U501" s="90"/>
      <c r="V501" s="90"/>
      <c r="W501" s="90"/>
      <c r="X501" s="90"/>
      <c r="Y501" s="90"/>
      <c r="Z501" s="90"/>
      <c r="AA501" s="90"/>
      <c r="AB501" s="90"/>
      <c r="AC501" s="90"/>
      <c r="AD501" s="90"/>
      <c r="AE501" s="90"/>
      <c r="AF501" s="90"/>
      <c r="AG501" s="90"/>
      <c r="AH501" s="90"/>
      <c r="AI501" s="90"/>
      <c r="AJ501" s="90"/>
      <c r="AK501" s="90"/>
      <c r="AL501" s="90"/>
      <c r="AM501" s="90"/>
      <c r="AN501" s="90"/>
      <c r="AO501" s="90"/>
      <c r="AP501" s="90"/>
      <c r="AQ501" s="90"/>
      <c r="AR501" s="90"/>
      <c r="AS501" s="90"/>
    </row>
    <row r="502" spans="17:45" s="54" customFormat="1" x14ac:dyDescent="0.25">
      <c r="Q502" s="195"/>
      <c r="R502" s="195"/>
      <c r="S502" s="195"/>
      <c r="T502" s="90"/>
      <c r="U502" s="90"/>
      <c r="V502" s="90"/>
      <c r="W502" s="90"/>
      <c r="X502" s="90"/>
      <c r="Y502" s="90"/>
      <c r="Z502" s="90"/>
      <c r="AA502" s="90"/>
      <c r="AB502" s="90"/>
      <c r="AC502" s="90"/>
      <c r="AD502" s="90"/>
      <c r="AE502" s="90"/>
      <c r="AF502" s="90"/>
      <c r="AG502" s="90"/>
      <c r="AH502" s="90"/>
      <c r="AI502" s="90"/>
      <c r="AJ502" s="90"/>
      <c r="AK502" s="90"/>
      <c r="AL502" s="90"/>
      <c r="AM502" s="90"/>
      <c r="AN502" s="90"/>
      <c r="AO502" s="90"/>
      <c r="AP502" s="90"/>
      <c r="AQ502" s="90"/>
      <c r="AR502" s="90"/>
      <c r="AS502" s="90"/>
    </row>
    <row r="503" spans="17:45" s="54" customFormat="1" x14ac:dyDescent="0.25">
      <c r="Q503" s="195"/>
      <c r="R503" s="195"/>
      <c r="S503" s="195"/>
      <c r="T503" s="90"/>
      <c r="U503" s="90"/>
      <c r="V503" s="90"/>
      <c r="W503" s="90"/>
      <c r="X503" s="90"/>
      <c r="Y503" s="90"/>
      <c r="Z503" s="90"/>
      <c r="AA503" s="90"/>
      <c r="AB503" s="90"/>
      <c r="AC503" s="90"/>
      <c r="AD503" s="90"/>
      <c r="AE503" s="90"/>
      <c r="AF503" s="90"/>
      <c r="AG503" s="90"/>
      <c r="AH503" s="90"/>
      <c r="AI503" s="90"/>
      <c r="AJ503" s="90"/>
      <c r="AK503" s="90"/>
      <c r="AL503" s="90"/>
      <c r="AM503" s="90"/>
      <c r="AN503" s="90"/>
      <c r="AO503" s="90"/>
      <c r="AP503" s="90"/>
      <c r="AQ503" s="90"/>
      <c r="AR503" s="90"/>
      <c r="AS503" s="90"/>
    </row>
    <row r="504" spans="17:45" s="54" customFormat="1" x14ac:dyDescent="0.25">
      <c r="Q504" s="195"/>
      <c r="R504" s="195"/>
      <c r="S504" s="195"/>
      <c r="T504" s="90"/>
      <c r="U504" s="90"/>
      <c r="V504" s="90"/>
      <c r="W504" s="90"/>
      <c r="X504" s="90"/>
      <c r="Y504" s="90"/>
      <c r="Z504" s="90"/>
      <c r="AA504" s="90"/>
      <c r="AB504" s="90"/>
      <c r="AC504" s="90"/>
      <c r="AD504" s="90"/>
      <c r="AE504" s="90"/>
      <c r="AF504" s="90"/>
      <c r="AG504" s="90"/>
      <c r="AH504" s="90"/>
      <c r="AI504" s="90"/>
      <c r="AJ504" s="90"/>
      <c r="AK504" s="90"/>
      <c r="AL504" s="90"/>
      <c r="AM504" s="90"/>
      <c r="AN504" s="90"/>
      <c r="AO504" s="90"/>
      <c r="AP504" s="90"/>
      <c r="AQ504" s="90"/>
      <c r="AR504" s="90"/>
      <c r="AS504" s="90"/>
    </row>
    <row r="505" spans="17:45" s="54" customFormat="1" x14ac:dyDescent="0.25">
      <c r="Q505" s="195"/>
      <c r="R505" s="195"/>
      <c r="S505" s="195"/>
      <c r="T505" s="90"/>
      <c r="U505" s="90"/>
      <c r="V505" s="90"/>
      <c r="W505" s="90"/>
      <c r="X505" s="90"/>
      <c r="Y505" s="90"/>
      <c r="Z505" s="90"/>
      <c r="AA505" s="90"/>
      <c r="AB505" s="90"/>
      <c r="AC505" s="90"/>
      <c r="AD505" s="90"/>
      <c r="AE505" s="90"/>
      <c r="AF505" s="90"/>
      <c r="AG505" s="90"/>
      <c r="AH505" s="90"/>
      <c r="AI505" s="90"/>
      <c r="AJ505" s="90"/>
      <c r="AK505" s="90"/>
      <c r="AL505" s="90"/>
      <c r="AM505" s="90"/>
      <c r="AN505" s="90"/>
      <c r="AO505" s="90"/>
      <c r="AP505" s="90"/>
      <c r="AQ505" s="90"/>
      <c r="AR505" s="90"/>
      <c r="AS505" s="90"/>
    </row>
    <row r="506" spans="17:45" s="54" customFormat="1" x14ac:dyDescent="0.25">
      <c r="Q506" s="195"/>
      <c r="R506" s="195"/>
      <c r="S506" s="195"/>
      <c r="T506" s="90"/>
      <c r="U506" s="90"/>
      <c r="V506" s="90"/>
      <c r="W506" s="90"/>
      <c r="X506" s="90"/>
      <c r="Y506" s="90"/>
      <c r="Z506" s="90"/>
      <c r="AA506" s="90"/>
      <c r="AB506" s="90"/>
      <c r="AC506" s="90"/>
      <c r="AD506" s="90"/>
      <c r="AE506" s="90"/>
      <c r="AF506" s="90"/>
      <c r="AG506" s="90"/>
      <c r="AH506" s="90"/>
      <c r="AI506" s="90"/>
      <c r="AJ506" s="90"/>
      <c r="AK506" s="90"/>
      <c r="AL506" s="90"/>
      <c r="AM506" s="90"/>
      <c r="AN506" s="90"/>
      <c r="AO506" s="90"/>
      <c r="AP506" s="90"/>
      <c r="AQ506" s="90"/>
      <c r="AR506" s="90"/>
      <c r="AS506" s="90"/>
    </row>
    <row r="507" spans="17:45" s="54" customFormat="1" x14ac:dyDescent="0.25">
      <c r="Q507" s="195"/>
      <c r="R507" s="195"/>
      <c r="S507" s="195"/>
      <c r="T507" s="90"/>
      <c r="U507" s="90"/>
      <c r="V507" s="90"/>
      <c r="W507" s="90"/>
      <c r="X507" s="90"/>
      <c r="Y507" s="90"/>
      <c r="Z507" s="90"/>
      <c r="AA507" s="90"/>
      <c r="AB507" s="90"/>
      <c r="AC507" s="90"/>
      <c r="AD507" s="90"/>
      <c r="AE507" s="90"/>
      <c r="AF507" s="90"/>
      <c r="AG507" s="90"/>
      <c r="AH507" s="90"/>
      <c r="AI507" s="90"/>
      <c r="AJ507" s="90"/>
      <c r="AK507" s="90"/>
      <c r="AL507" s="90"/>
      <c r="AM507" s="90"/>
      <c r="AN507" s="90"/>
      <c r="AO507" s="90"/>
      <c r="AP507" s="90"/>
      <c r="AQ507" s="90"/>
      <c r="AR507" s="90"/>
      <c r="AS507" s="90"/>
    </row>
    <row r="508" spans="17:45" s="54" customFormat="1" x14ac:dyDescent="0.25">
      <c r="Q508" s="195"/>
      <c r="R508" s="195"/>
      <c r="S508" s="195"/>
      <c r="T508" s="90"/>
      <c r="U508" s="90"/>
      <c r="V508" s="90"/>
      <c r="W508" s="90"/>
      <c r="X508" s="90"/>
      <c r="Y508" s="90"/>
      <c r="Z508" s="90"/>
      <c r="AA508" s="90"/>
      <c r="AB508" s="90"/>
      <c r="AC508" s="90"/>
      <c r="AD508" s="90"/>
      <c r="AE508" s="90"/>
      <c r="AF508" s="90"/>
      <c r="AG508" s="90"/>
      <c r="AH508" s="90"/>
      <c r="AI508" s="90"/>
      <c r="AJ508" s="90"/>
      <c r="AK508" s="90"/>
      <c r="AL508" s="90"/>
      <c r="AM508" s="90"/>
      <c r="AN508" s="90"/>
      <c r="AO508" s="90"/>
      <c r="AP508" s="90"/>
      <c r="AQ508" s="90"/>
      <c r="AR508" s="90"/>
      <c r="AS508" s="90"/>
    </row>
    <row r="509" spans="17:45" s="54" customFormat="1" x14ac:dyDescent="0.25">
      <c r="Q509" s="195"/>
      <c r="R509" s="195"/>
      <c r="S509" s="195"/>
      <c r="T509" s="90"/>
      <c r="U509" s="90"/>
      <c r="V509" s="90"/>
      <c r="W509" s="90"/>
      <c r="X509" s="90"/>
      <c r="Y509" s="90"/>
      <c r="Z509" s="90"/>
      <c r="AA509" s="90"/>
      <c r="AB509" s="90"/>
      <c r="AC509" s="90"/>
      <c r="AD509" s="90"/>
      <c r="AE509" s="90"/>
      <c r="AF509" s="90"/>
      <c r="AG509" s="90"/>
      <c r="AH509" s="90"/>
      <c r="AI509" s="90"/>
      <c r="AJ509" s="90"/>
      <c r="AK509" s="90"/>
      <c r="AL509" s="90"/>
      <c r="AM509" s="90"/>
      <c r="AN509" s="90"/>
      <c r="AO509" s="90"/>
      <c r="AP509" s="90"/>
      <c r="AQ509" s="90"/>
      <c r="AR509" s="90"/>
      <c r="AS509" s="90"/>
    </row>
    <row r="510" spans="17:45" s="54" customFormat="1" x14ac:dyDescent="0.25">
      <c r="Q510" s="195"/>
      <c r="R510" s="195"/>
      <c r="S510" s="195"/>
      <c r="T510" s="90"/>
      <c r="U510" s="90"/>
      <c r="V510" s="90"/>
      <c r="W510" s="90"/>
      <c r="X510" s="90"/>
      <c r="Y510" s="90"/>
      <c r="Z510" s="90"/>
      <c r="AA510" s="90"/>
      <c r="AB510" s="90"/>
      <c r="AC510" s="90"/>
      <c r="AD510" s="90"/>
      <c r="AE510" s="90"/>
      <c r="AF510" s="90"/>
      <c r="AG510" s="90"/>
      <c r="AH510" s="90"/>
      <c r="AI510" s="90"/>
      <c r="AJ510" s="90"/>
      <c r="AK510" s="90"/>
      <c r="AL510" s="90"/>
      <c r="AM510" s="90"/>
      <c r="AN510" s="90"/>
      <c r="AO510" s="90"/>
      <c r="AP510" s="90"/>
      <c r="AQ510" s="90"/>
      <c r="AR510" s="90"/>
      <c r="AS510" s="90"/>
    </row>
    <row r="511" spans="17:45" s="54" customFormat="1" x14ac:dyDescent="0.25">
      <c r="Q511" s="195"/>
      <c r="R511" s="195"/>
      <c r="S511" s="195"/>
      <c r="T511" s="90"/>
      <c r="U511" s="90"/>
      <c r="V511" s="90"/>
      <c r="W511" s="90"/>
      <c r="X511" s="90"/>
      <c r="Y511" s="90"/>
      <c r="Z511" s="90"/>
      <c r="AA511" s="90"/>
      <c r="AB511" s="90"/>
      <c r="AC511" s="90"/>
      <c r="AD511" s="90"/>
      <c r="AE511" s="90"/>
      <c r="AF511" s="90"/>
      <c r="AG511" s="90"/>
      <c r="AH511" s="90"/>
      <c r="AI511" s="90"/>
      <c r="AJ511" s="90"/>
      <c r="AK511" s="90"/>
      <c r="AL511" s="90"/>
      <c r="AM511" s="90"/>
      <c r="AN511" s="90"/>
      <c r="AO511" s="90"/>
      <c r="AP511" s="90"/>
      <c r="AQ511" s="90"/>
      <c r="AR511" s="90"/>
      <c r="AS511" s="90"/>
    </row>
    <row r="512" spans="17:45" s="54" customFormat="1" x14ac:dyDescent="0.25">
      <c r="Q512" s="195"/>
      <c r="R512" s="195"/>
      <c r="S512" s="195"/>
      <c r="T512" s="90"/>
      <c r="U512" s="90"/>
      <c r="V512" s="90"/>
      <c r="W512" s="90"/>
      <c r="X512" s="90"/>
      <c r="Y512" s="90"/>
      <c r="Z512" s="90"/>
      <c r="AA512" s="90"/>
      <c r="AB512" s="90"/>
      <c r="AC512" s="90"/>
      <c r="AD512" s="90"/>
      <c r="AE512" s="90"/>
      <c r="AF512" s="90"/>
      <c r="AG512" s="90"/>
      <c r="AH512" s="90"/>
      <c r="AI512" s="90"/>
      <c r="AJ512" s="90"/>
      <c r="AK512" s="90"/>
      <c r="AL512" s="90"/>
      <c r="AM512" s="90"/>
      <c r="AN512" s="90"/>
      <c r="AO512" s="90"/>
      <c r="AP512" s="90"/>
      <c r="AQ512" s="90"/>
      <c r="AR512" s="90"/>
      <c r="AS512" s="90"/>
    </row>
    <row r="513" spans="17:45" s="54" customFormat="1" x14ac:dyDescent="0.25">
      <c r="Q513" s="195"/>
      <c r="R513" s="195"/>
      <c r="S513" s="195"/>
      <c r="T513" s="90"/>
      <c r="U513" s="90"/>
      <c r="V513" s="90"/>
      <c r="W513" s="90"/>
      <c r="X513" s="90"/>
      <c r="Y513" s="90"/>
      <c r="Z513" s="90"/>
      <c r="AA513" s="90"/>
      <c r="AB513" s="90"/>
      <c r="AC513" s="90"/>
      <c r="AD513" s="90"/>
      <c r="AE513" s="90"/>
      <c r="AF513" s="90"/>
      <c r="AG513" s="90"/>
      <c r="AH513" s="90"/>
      <c r="AI513" s="90"/>
      <c r="AJ513" s="90"/>
      <c r="AK513" s="90"/>
      <c r="AL513" s="90"/>
      <c r="AM513" s="90"/>
      <c r="AN513" s="90"/>
      <c r="AO513" s="90"/>
      <c r="AP513" s="90"/>
      <c r="AQ513" s="90"/>
      <c r="AR513" s="90"/>
      <c r="AS513" s="90"/>
    </row>
    <row r="514" spans="17:45" s="54" customFormat="1" x14ac:dyDescent="0.25">
      <c r="Q514" s="195"/>
      <c r="R514" s="195"/>
      <c r="S514" s="195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</row>
    <row r="515" spans="17:45" s="54" customFormat="1" x14ac:dyDescent="0.25">
      <c r="Q515" s="195"/>
      <c r="R515" s="195"/>
      <c r="S515" s="195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</row>
    <row r="516" spans="17:45" s="54" customFormat="1" x14ac:dyDescent="0.25">
      <c r="Q516" s="195"/>
      <c r="R516" s="195"/>
      <c r="S516" s="195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</row>
    <row r="517" spans="17:45" s="54" customFormat="1" x14ac:dyDescent="0.25">
      <c r="Q517" s="195"/>
      <c r="R517" s="195"/>
      <c r="S517" s="195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</row>
    <row r="518" spans="17:45" s="54" customFormat="1" x14ac:dyDescent="0.25">
      <c r="Q518" s="195"/>
      <c r="R518" s="195"/>
      <c r="S518" s="195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</row>
    <row r="519" spans="17:45" s="54" customFormat="1" x14ac:dyDescent="0.25">
      <c r="Q519" s="195"/>
      <c r="R519" s="195"/>
      <c r="S519" s="195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</row>
    <row r="520" spans="17:45" s="54" customFormat="1" x14ac:dyDescent="0.25">
      <c r="Q520" s="195"/>
      <c r="R520" s="195"/>
      <c r="S520" s="195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</row>
    <row r="521" spans="17:45" s="54" customFormat="1" x14ac:dyDescent="0.25">
      <c r="Q521" s="195"/>
      <c r="R521" s="195"/>
      <c r="S521" s="195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</row>
    <row r="522" spans="17:45" s="54" customFormat="1" x14ac:dyDescent="0.25">
      <c r="Q522" s="195"/>
      <c r="R522" s="195"/>
      <c r="S522" s="195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</row>
    <row r="523" spans="17:45" s="54" customFormat="1" x14ac:dyDescent="0.25">
      <c r="Q523" s="195"/>
      <c r="R523" s="195"/>
      <c r="S523" s="195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</row>
    <row r="524" spans="17:45" s="54" customFormat="1" x14ac:dyDescent="0.25">
      <c r="Q524" s="195"/>
      <c r="R524" s="195"/>
      <c r="S524" s="195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</row>
    <row r="525" spans="17:45" s="54" customFormat="1" x14ac:dyDescent="0.25">
      <c r="Q525" s="195"/>
      <c r="R525" s="195"/>
      <c r="S525" s="195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</row>
    <row r="526" spans="17:45" s="54" customFormat="1" x14ac:dyDescent="0.25">
      <c r="Q526" s="195"/>
      <c r="R526" s="195"/>
      <c r="S526" s="195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</row>
    <row r="527" spans="17:45" s="54" customFormat="1" x14ac:dyDescent="0.25">
      <c r="Q527" s="195"/>
      <c r="R527" s="195"/>
      <c r="S527" s="195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</row>
    <row r="528" spans="17:45" s="54" customFormat="1" x14ac:dyDescent="0.25">
      <c r="Q528" s="195"/>
      <c r="R528" s="195"/>
      <c r="S528" s="195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</row>
    <row r="529" spans="17:45" s="54" customFormat="1" x14ac:dyDescent="0.25">
      <c r="Q529" s="195"/>
      <c r="R529" s="195"/>
      <c r="S529" s="195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</row>
    <row r="530" spans="17:45" s="54" customFormat="1" x14ac:dyDescent="0.25">
      <c r="Q530" s="195"/>
      <c r="R530" s="195"/>
      <c r="S530" s="195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</row>
    <row r="531" spans="17:45" s="54" customFormat="1" x14ac:dyDescent="0.25">
      <c r="Q531" s="195"/>
      <c r="R531" s="195"/>
      <c r="S531" s="195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</row>
    <row r="532" spans="17:45" s="54" customFormat="1" x14ac:dyDescent="0.25">
      <c r="Q532" s="195"/>
      <c r="R532" s="195"/>
      <c r="S532" s="195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</row>
    <row r="533" spans="17:45" s="54" customFormat="1" x14ac:dyDescent="0.25">
      <c r="Q533" s="195"/>
      <c r="R533" s="195"/>
      <c r="S533" s="195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</row>
    <row r="534" spans="17:45" s="54" customFormat="1" x14ac:dyDescent="0.25">
      <c r="Q534" s="195"/>
      <c r="R534" s="195"/>
      <c r="S534" s="195"/>
      <c r="T534" s="90"/>
      <c r="U534" s="90"/>
      <c r="V534" s="90"/>
      <c r="W534" s="90"/>
      <c r="X534" s="90"/>
      <c r="Y534" s="90"/>
      <c r="Z534" s="90"/>
      <c r="AA534" s="90"/>
      <c r="AB534" s="90"/>
      <c r="AC534" s="90"/>
      <c r="AD534" s="90"/>
      <c r="AE534" s="90"/>
      <c r="AF534" s="90"/>
      <c r="AG534" s="90"/>
      <c r="AH534" s="90"/>
      <c r="AI534" s="90"/>
      <c r="AJ534" s="90"/>
      <c r="AK534" s="90"/>
      <c r="AL534" s="90"/>
      <c r="AM534" s="90"/>
      <c r="AN534" s="90"/>
      <c r="AO534" s="90"/>
      <c r="AP534" s="90"/>
      <c r="AQ534" s="90"/>
      <c r="AR534" s="90"/>
      <c r="AS534" s="90"/>
    </row>
    <row r="535" spans="17:45" s="54" customFormat="1" x14ac:dyDescent="0.25">
      <c r="Q535" s="195"/>
      <c r="R535" s="195"/>
      <c r="S535" s="195"/>
      <c r="T535" s="90"/>
      <c r="U535" s="90"/>
      <c r="V535" s="90"/>
      <c r="W535" s="90"/>
      <c r="X535" s="90"/>
      <c r="Y535" s="90"/>
      <c r="Z535" s="90"/>
      <c r="AA535" s="90"/>
      <c r="AB535" s="90"/>
      <c r="AC535" s="90"/>
      <c r="AD535" s="90"/>
      <c r="AE535" s="90"/>
      <c r="AF535" s="90"/>
      <c r="AG535" s="90"/>
      <c r="AH535" s="90"/>
      <c r="AI535" s="90"/>
      <c r="AJ535" s="90"/>
      <c r="AK535" s="90"/>
      <c r="AL535" s="90"/>
      <c r="AM535" s="90"/>
      <c r="AN535" s="90"/>
      <c r="AO535" s="90"/>
      <c r="AP535" s="90"/>
      <c r="AQ535" s="90"/>
      <c r="AR535" s="90"/>
      <c r="AS535" s="90"/>
    </row>
    <row r="536" spans="17:45" s="54" customFormat="1" x14ac:dyDescent="0.25">
      <c r="Q536" s="195"/>
      <c r="R536" s="195"/>
      <c r="S536" s="195"/>
      <c r="T536" s="90"/>
      <c r="U536" s="90"/>
      <c r="V536" s="90"/>
      <c r="W536" s="90"/>
      <c r="X536" s="90"/>
      <c r="Y536" s="90"/>
      <c r="Z536" s="90"/>
      <c r="AA536" s="90"/>
      <c r="AB536" s="90"/>
      <c r="AC536" s="90"/>
      <c r="AD536" s="90"/>
      <c r="AE536" s="90"/>
      <c r="AF536" s="90"/>
      <c r="AG536" s="90"/>
      <c r="AH536" s="90"/>
      <c r="AI536" s="90"/>
      <c r="AJ536" s="90"/>
      <c r="AK536" s="90"/>
      <c r="AL536" s="90"/>
      <c r="AM536" s="90"/>
      <c r="AN536" s="90"/>
      <c r="AO536" s="90"/>
      <c r="AP536" s="90"/>
      <c r="AQ536" s="90"/>
      <c r="AR536" s="90"/>
      <c r="AS536" s="90"/>
    </row>
    <row r="537" spans="17:45" s="54" customFormat="1" x14ac:dyDescent="0.25">
      <c r="Q537" s="195"/>
      <c r="R537" s="195"/>
      <c r="S537" s="195"/>
      <c r="T537" s="90"/>
      <c r="U537" s="90"/>
      <c r="V537" s="90"/>
      <c r="W537" s="90"/>
      <c r="X537" s="90"/>
      <c r="Y537" s="90"/>
      <c r="Z537" s="90"/>
      <c r="AA537" s="90"/>
      <c r="AB537" s="90"/>
      <c r="AC537" s="90"/>
      <c r="AD537" s="90"/>
      <c r="AE537" s="90"/>
      <c r="AF537" s="90"/>
      <c r="AG537" s="90"/>
      <c r="AH537" s="90"/>
      <c r="AI537" s="90"/>
      <c r="AJ537" s="90"/>
      <c r="AK537" s="90"/>
      <c r="AL537" s="90"/>
      <c r="AM537" s="90"/>
      <c r="AN537" s="90"/>
      <c r="AO537" s="90"/>
      <c r="AP537" s="90"/>
      <c r="AQ537" s="90"/>
      <c r="AR537" s="90"/>
      <c r="AS537" s="90"/>
    </row>
    <row r="538" spans="17:45" s="54" customFormat="1" x14ac:dyDescent="0.25">
      <c r="Q538" s="195"/>
      <c r="R538" s="195"/>
      <c r="S538" s="195"/>
      <c r="T538" s="90"/>
      <c r="U538" s="90"/>
      <c r="V538" s="90"/>
      <c r="W538" s="90"/>
      <c r="X538" s="90"/>
      <c r="Y538" s="90"/>
      <c r="Z538" s="90"/>
      <c r="AA538" s="90"/>
      <c r="AB538" s="90"/>
      <c r="AC538" s="90"/>
      <c r="AD538" s="90"/>
      <c r="AE538" s="90"/>
      <c r="AF538" s="90"/>
      <c r="AG538" s="90"/>
      <c r="AH538" s="90"/>
      <c r="AI538" s="90"/>
      <c r="AJ538" s="90"/>
      <c r="AK538" s="90"/>
      <c r="AL538" s="90"/>
      <c r="AM538" s="90"/>
      <c r="AN538" s="90"/>
      <c r="AO538" s="90"/>
      <c r="AP538" s="90"/>
      <c r="AQ538" s="90"/>
      <c r="AR538" s="90"/>
      <c r="AS538" s="90"/>
    </row>
    <row r="539" spans="17:45" s="54" customFormat="1" x14ac:dyDescent="0.25">
      <c r="Q539" s="195"/>
      <c r="R539" s="195"/>
      <c r="S539" s="195"/>
      <c r="T539" s="90"/>
      <c r="U539" s="90"/>
      <c r="V539" s="90"/>
      <c r="W539" s="90"/>
      <c r="X539" s="90"/>
      <c r="Y539" s="90"/>
      <c r="Z539" s="90"/>
      <c r="AA539" s="90"/>
      <c r="AB539" s="90"/>
      <c r="AC539" s="90"/>
      <c r="AD539" s="90"/>
      <c r="AE539" s="90"/>
      <c r="AF539" s="90"/>
      <c r="AG539" s="90"/>
      <c r="AH539" s="90"/>
      <c r="AI539" s="90"/>
      <c r="AJ539" s="90"/>
      <c r="AK539" s="90"/>
      <c r="AL539" s="90"/>
      <c r="AM539" s="90"/>
      <c r="AN539" s="90"/>
      <c r="AO539" s="90"/>
      <c r="AP539" s="90"/>
      <c r="AQ539" s="90"/>
      <c r="AR539" s="90"/>
      <c r="AS539" s="90"/>
    </row>
    <row r="540" spans="17:45" s="54" customFormat="1" x14ac:dyDescent="0.25">
      <c r="Q540" s="195"/>
      <c r="R540" s="195"/>
      <c r="S540" s="195"/>
      <c r="T540" s="90"/>
      <c r="U540" s="90"/>
      <c r="V540" s="90"/>
      <c r="W540" s="90"/>
      <c r="X540" s="90"/>
      <c r="Y540" s="90"/>
      <c r="Z540" s="90"/>
      <c r="AA540" s="90"/>
      <c r="AB540" s="90"/>
      <c r="AC540" s="90"/>
      <c r="AD540" s="90"/>
      <c r="AE540" s="90"/>
      <c r="AF540" s="90"/>
      <c r="AG540" s="90"/>
      <c r="AH540" s="90"/>
      <c r="AI540" s="90"/>
      <c r="AJ540" s="90"/>
      <c r="AK540" s="90"/>
      <c r="AL540" s="90"/>
      <c r="AM540" s="90"/>
      <c r="AN540" s="90"/>
      <c r="AO540" s="90"/>
      <c r="AP540" s="90"/>
      <c r="AQ540" s="90"/>
      <c r="AR540" s="90"/>
      <c r="AS540" s="90"/>
    </row>
    <row r="541" spans="17:45" s="54" customFormat="1" x14ac:dyDescent="0.25">
      <c r="Q541" s="195"/>
      <c r="R541" s="195"/>
      <c r="S541" s="195"/>
      <c r="T541" s="90"/>
      <c r="U541" s="90"/>
      <c r="V541" s="90"/>
      <c r="W541" s="90"/>
      <c r="X541" s="90"/>
      <c r="Y541" s="90"/>
      <c r="Z541" s="90"/>
      <c r="AA541" s="90"/>
      <c r="AB541" s="90"/>
      <c r="AC541" s="90"/>
      <c r="AD541" s="90"/>
      <c r="AE541" s="90"/>
      <c r="AF541" s="90"/>
      <c r="AG541" s="90"/>
      <c r="AH541" s="90"/>
      <c r="AI541" s="90"/>
      <c r="AJ541" s="90"/>
      <c r="AK541" s="90"/>
      <c r="AL541" s="90"/>
      <c r="AM541" s="90"/>
      <c r="AN541" s="90"/>
      <c r="AO541" s="90"/>
      <c r="AP541" s="90"/>
      <c r="AQ541" s="90"/>
      <c r="AR541" s="90"/>
      <c r="AS541" s="90"/>
    </row>
    <row r="542" spans="17:45" s="54" customFormat="1" x14ac:dyDescent="0.25">
      <c r="Q542" s="195"/>
      <c r="R542" s="195"/>
      <c r="S542" s="195"/>
      <c r="T542" s="90"/>
      <c r="U542" s="90"/>
      <c r="V542" s="90"/>
      <c r="W542" s="90"/>
      <c r="X542" s="90"/>
      <c r="Y542" s="90"/>
      <c r="Z542" s="90"/>
      <c r="AA542" s="90"/>
      <c r="AB542" s="90"/>
      <c r="AC542" s="90"/>
      <c r="AD542" s="90"/>
      <c r="AE542" s="90"/>
      <c r="AF542" s="90"/>
      <c r="AG542" s="90"/>
      <c r="AH542" s="90"/>
      <c r="AI542" s="90"/>
      <c r="AJ542" s="90"/>
      <c r="AK542" s="90"/>
      <c r="AL542" s="90"/>
      <c r="AM542" s="90"/>
      <c r="AN542" s="90"/>
      <c r="AO542" s="90"/>
      <c r="AP542" s="90"/>
      <c r="AQ542" s="90"/>
      <c r="AR542" s="90"/>
      <c r="AS542" s="90"/>
    </row>
    <row r="543" spans="17:45" s="54" customFormat="1" x14ac:dyDescent="0.25">
      <c r="Q543" s="195"/>
      <c r="R543" s="195"/>
      <c r="S543" s="195"/>
      <c r="T543" s="90"/>
      <c r="U543" s="90"/>
      <c r="V543" s="90"/>
      <c r="W543" s="90"/>
      <c r="X543" s="90"/>
      <c r="Y543" s="90"/>
      <c r="Z543" s="90"/>
      <c r="AA543" s="90"/>
      <c r="AB543" s="90"/>
      <c r="AC543" s="90"/>
      <c r="AD543" s="90"/>
      <c r="AE543" s="90"/>
      <c r="AF543" s="90"/>
      <c r="AG543" s="90"/>
      <c r="AH543" s="90"/>
      <c r="AI543" s="90"/>
      <c r="AJ543" s="90"/>
      <c r="AK543" s="90"/>
      <c r="AL543" s="90"/>
      <c r="AM543" s="90"/>
      <c r="AN543" s="90"/>
      <c r="AO543" s="90"/>
      <c r="AP543" s="90"/>
      <c r="AQ543" s="90"/>
      <c r="AR543" s="90"/>
      <c r="AS543" s="90"/>
    </row>
    <row r="544" spans="17:45" s="54" customFormat="1" x14ac:dyDescent="0.25">
      <c r="Q544" s="195"/>
      <c r="R544" s="195"/>
      <c r="S544" s="195"/>
      <c r="T544" s="90"/>
      <c r="U544" s="90"/>
      <c r="V544" s="90"/>
      <c r="W544" s="90"/>
      <c r="X544" s="90"/>
      <c r="Y544" s="90"/>
      <c r="Z544" s="90"/>
      <c r="AA544" s="90"/>
      <c r="AB544" s="90"/>
      <c r="AC544" s="90"/>
      <c r="AD544" s="90"/>
      <c r="AE544" s="90"/>
      <c r="AF544" s="90"/>
      <c r="AG544" s="90"/>
      <c r="AH544" s="90"/>
      <c r="AI544" s="90"/>
      <c r="AJ544" s="90"/>
      <c r="AK544" s="90"/>
      <c r="AL544" s="90"/>
      <c r="AM544" s="90"/>
      <c r="AN544" s="90"/>
      <c r="AO544" s="90"/>
      <c r="AP544" s="90"/>
      <c r="AQ544" s="90"/>
      <c r="AR544" s="90"/>
      <c r="AS544" s="90"/>
    </row>
    <row r="545" spans="17:45" s="54" customFormat="1" x14ac:dyDescent="0.25">
      <c r="Q545" s="195"/>
      <c r="R545" s="195"/>
      <c r="S545" s="195"/>
      <c r="T545" s="90"/>
      <c r="U545" s="90"/>
      <c r="V545" s="90"/>
      <c r="W545" s="90"/>
      <c r="X545" s="90"/>
      <c r="Y545" s="90"/>
      <c r="Z545" s="90"/>
      <c r="AA545" s="90"/>
      <c r="AB545" s="90"/>
      <c r="AC545" s="90"/>
      <c r="AD545" s="90"/>
      <c r="AE545" s="90"/>
      <c r="AF545" s="90"/>
      <c r="AG545" s="90"/>
      <c r="AH545" s="90"/>
      <c r="AI545" s="90"/>
      <c r="AJ545" s="90"/>
      <c r="AK545" s="90"/>
      <c r="AL545" s="90"/>
      <c r="AM545" s="90"/>
      <c r="AN545" s="90"/>
      <c r="AO545" s="90"/>
      <c r="AP545" s="90"/>
      <c r="AQ545" s="90"/>
      <c r="AR545" s="90"/>
      <c r="AS545" s="90"/>
    </row>
    <row r="546" spans="17:45" s="54" customFormat="1" x14ac:dyDescent="0.25">
      <c r="Q546" s="195"/>
      <c r="R546" s="195"/>
      <c r="S546" s="195"/>
      <c r="T546" s="90"/>
      <c r="U546" s="90"/>
      <c r="V546" s="90"/>
      <c r="W546" s="90"/>
      <c r="X546" s="90"/>
      <c r="Y546" s="90"/>
      <c r="Z546" s="90"/>
      <c r="AA546" s="90"/>
      <c r="AB546" s="90"/>
      <c r="AC546" s="90"/>
      <c r="AD546" s="90"/>
      <c r="AE546" s="90"/>
      <c r="AF546" s="90"/>
      <c r="AG546" s="90"/>
      <c r="AH546" s="90"/>
      <c r="AI546" s="90"/>
      <c r="AJ546" s="90"/>
      <c r="AK546" s="90"/>
      <c r="AL546" s="90"/>
      <c r="AM546" s="90"/>
      <c r="AN546" s="90"/>
      <c r="AO546" s="90"/>
      <c r="AP546" s="90"/>
      <c r="AQ546" s="90"/>
      <c r="AR546" s="90"/>
      <c r="AS546" s="90"/>
    </row>
    <row r="547" spans="17:45" s="54" customFormat="1" x14ac:dyDescent="0.25">
      <c r="Q547" s="195"/>
      <c r="R547" s="195"/>
      <c r="S547" s="195"/>
      <c r="T547" s="90"/>
      <c r="U547" s="90"/>
      <c r="V547" s="90"/>
      <c r="W547" s="90"/>
      <c r="X547" s="90"/>
      <c r="Y547" s="90"/>
      <c r="Z547" s="90"/>
      <c r="AA547" s="90"/>
      <c r="AB547" s="90"/>
      <c r="AC547" s="90"/>
      <c r="AD547" s="90"/>
      <c r="AE547" s="90"/>
      <c r="AF547" s="90"/>
      <c r="AG547" s="90"/>
      <c r="AH547" s="90"/>
      <c r="AI547" s="90"/>
      <c r="AJ547" s="90"/>
      <c r="AK547" s="90"/>
      <c r="AL547" s="90"/>
      <c r="AM547" s="90"/>
      <c r="AN547" s="90"/>
      <c r="AO547" s="90"/>
      <c r="AP547" s="90"/>
      <c r="AQ547" s="90"/>
      <c r="AR547" s="90"/>
      <c r="AS547" s="90"/>
    </row>
    <row r="548" spans="17:45" s="54" customFormat="1" x14ac:dyDescent="0.25">
      <c r="Q548" s="195"/>
      <c r="R548" s="195"/>
      <c r="S548" s="195"/>
      <c r="T548" s="90"/>
      <c r="U548" s="90"/>
      <c r="V548" s="90"/>
      <c r="W548" s="90"/>
      <c r="X548" s="90"/>
      <c r="Y548" s="90"/>
      <c r="Z548" s="90"/>
      <c r="AA548" s="90"/>
      <c r="AB548" s="90"/>
      <c r="AC548" s="90"/>
      <c r="AD548" s="90"/>
      <c r="AE548" s="90"/>
      <c r="AF548" s="90"/>
      <c r="AG548" s="90"/>
      <c r="AH548" s="90"/>
      <c r="AI548" s="90"/>
      <c r="AJ548" s="90"/>
      <c r="AK548" s="90"/>
      <c r="AL548" s="90"/>
      <c r="AM548" s="90"/>
      <c r="AN548" s="90"/>
      <c r="AO548" s="90"/>
      <c r="AP548" s="90"/>
      <c r="AQ548" s="90"/>
      <c r="AR548" s="90"/>
      <c r="AS548" s="90"/>
    </row>
    <row r="549" spans="17:45" s="54" customFormat="1" x14ac:dyDescent="0.25">
      <c r="Q549" s="195"/>
      <c r="R549" s="195"/>
      <c r="S549" s="195"/>
      <c r="T549" s="90"/>
      <c r="U549" s="90"/>
      <c r="V549" s="90"/>
      <c r="W549" s="90"/>
      <c r="X549" s="90"/>
      <c r="Y549" s="90"/>
      <c r="Z549" s="90"/>
      <c r="AA549" s="90"/>
      <c r="AB549" s="90"/>
      <c r="AC549" s="90"/>
      <c r="AD549" s="90"/>
      <c r="AE549" s="90"/>
      <c r="AF549" s="90"/>
      <c r="AG549" s="90"/>
      <c r="AH549" s="90"/>
      <c r="AI549" s="90"/>
      <c r="AJ549" s="90"/>
      <c r="AK549" s="90"/>
      <c r="AL549" s="90"/>
      <c r="AM549" s="90"/>
      <c r="AN549" s="90"/>
      <c r="AO549" s="90"/>
      <c r="AP549" s="90"/>
      <c r="AQ549" s="90"/>
      <c r="AR549" s="90"/>
      <c r="AS549" s="90"/>
    </row>
    <row r="550" spans="17:45" s="54" customFormat="1" x14ac:dyDescent="0.25">
      <c r="Q550" s="195"/>
      <c r="R550" s="195"/>
      <c r="S550" s="195"/>
      <c r="T550" s="90"/>
      <c r="U550" s="90"/>
      <c r="V550" s="90"/>
      <c r="W550" s="90"/>
      <c r="X550" s="90"/>
      <c r="Y550" s="90"/>
      <c r="Z550" s="90"/>
      <c r="AA550" s="90"/>
      <c r="AB550" s="90"/>
      <c r="AC550" s="90"/>
      <c r="AD550" s="90"/>
      <c r="AE550" s="90"/>
      <c r="AF550" s="90"/>
      <c r="AG550" s="90"/>
      <c r="AH550" s="90"/>
      <c r="AI550" s="90"/>
      <c r="AJ550" s="90"/>
      <c r="AK550" s="90"/>
      <c r="AL550" s="90"/>
      <c r="AM550" s="90"/>
      <c r="AN550" s="90"/>
      <c r="AO550" s="90"/>
      <c r="AP550" s="90"/>
      <c r="AQ550" s="90"/>
      <c r="AR550" s="90"/>
      <c r="AS550" s="90"/>
    </row>
    <row r="551" spans="17:45" s="54" customFormat="1" x14ac:dyDescent="0.25">
      <c r="Q551" s="195"/>
      <c r="R551" s="195"/>
      <c r="S551" s="195"/>
      <c r="T551" s="90"/>
      <c r="U551" s="90"/>
      <c r="V551" s="90"/>
      <c r="W551" s="90"/>
      <c r="X551" s="90"/>
      <c r="Y551" s="90"/>
      <c r="Z551" s="90"/>
      <c r="AA551" s="90"/>
      <c r="AB551" s="90"/>
      <c r="AC551" s="90"/>
      <c r="AD551" s="90"/>
      <c r="AE551" s="90"/>
      <c r="AF551" s="90"/>
      <c r="AG551" s="90"/>
      <c r="AH551" s="90"/>
      <c r="AI551" s="90"/>
      <c r="AJ551" s="90"/>
      <c r="AK551" s="90"/>
      <c r="AL551" s="90"/>
      <c r="AM551" s="90"/>
      <c r="AN551" s="90"/>
      <c r="AO551" s="90"/>
      <c r="AP551" s="90"/>
      <c r="AQ551" s="90"/>
      <c r="AR551" s="90"/>
      <c r="AS551" s="90"/>
    </row>
    <row r="552" spans="17:45" s="54" customFormat="1" x14ac:dyDescent="0.25">
      <c r="Q552" s="195"/>
      <c r="R552" s="195"/>
      <c r="S552" s="195"/>
      <c r="T552" s="90"/>
      <c r="U552" s="90"/>
      <c r="V552" s="90"/>
      <c r="W552" s="90"/>
      <c r="X552" s="90"/>
      <c r="Y552" s="90"/>
      <c r="Z552" s="90"/>
      <c r="AA552" s="90"/>
      <c r="AB552" s="90"/>
      <c r="AC552" s="90"/>
      <c r="AD552" s="90"/>
      <c r="AE552" s="90"/>
      <c r="AF552" s="90"/>
      <c r="AG552" s="90"/>
      <c r="AH552" s="90"/>
      <c r="AI552" s="90"/>
      <c r="AJ552" s="90"/>
      <c r="AK552" s="90"/>
      <c r="AL552" s="90"/>
      <c r="AM552" s="90"/>
      <c r="AN552" s="90"/>
      <c r="AO552" s="90"/>
      <c r="AP552" s="90"/>
      <c r="AQ552" s="90"/>
      <c r="AR552" s="90"/>
      <c r="AS552" s="90"/>
    </row>
    <row r="553" spans="17:45" s="54" customFormat="1" x14ac:dyDescent="0.25">
      <c r="Q553" s="195"/>
      <c r="R553" s="195"/>
      <c r="S553" s="195"/>
      <c r="T553" s="90"/>
      <c r="U553" s="90"/>
      <c r="V553" s="90"/>
      <c r="W553" s="90"/>
      <c r="X553" s="90"/>
      <c r="Y553" s="90"/>
      <c r="Z553" s="90"/>
      <c r="AA553" s="90"/>
      <c r="AB553" s="90"/>
      <c r="AC553" s="90"/>
      <c r="AD553" s="90"/>
      <c r="AE553" s="90"/>
      <c r="AF553" s="90"/>
      <c r="AG553" s="90"/>
      <c r="AH553" s="90"/>
      <c r="AI553" s="90"/>
      <c r="AJ553" s="90"/>
      <c r="AK553" s="90"/>
      <c r="AL553" s="90"/>
      <c r="AM553" s="90"/>
      <c r="AN553" s="90"/>
      <c r="AO553" s="90"/>
      <c r="AP553" s="90"/>
      <c r="AQ553" s="90"/>
      <c r="AR553" s="90"/>
      <c r="AS553" s="90"/>
    </row>
    <row r="554" spans="17:45" s="54" customFormat="1" x14ac:dyDescent="0.25">
      <c r="Q554" s="195"/>
      <c r="R554" s="195"/>
      <c r="S554" s="195"/>
      <c r="T554" s="90"/>
      <c r="U554" s="90"/>
      <c r="V554" s="90"/>
      <c r="W554" s="90"/>
      <c r="X554" s="90"/>
      <c r="Y554" s="90"/>
      <c r="Z554" s="90"/>
      <c r="AA554" s="90"/>
      <c r="AB554" s="90"/>
      <c r="AC554" s="90"/>
      <c r="AD554" s="90"/>
      <c r="AE554" s="90"/>
      <c r="AF554" s="90"/>
      <c r="AG554" s="90"/>
      <c r="AH554" s="90"/>
      <c r="AI554" s="90"/>
      <c r="AJ554" s="90"/>
      <c r="AK554" s="90"/>
      <c r="AL554" s="90"/>
      <c r="AM554" s="90"/>
      <c r="AN554" s="90"/>
      <c r="AO554" s="90"/>
      <c r="AP554" s="90"/>
      <c r="AQ554" s="90"/>
      <c r="AR554" s="90"/>
      <c r="AS554" s="90"/>
    </row>
    <row r="555" spans="17:45" s="54" customFormat="1" x14ac:dyDescent="0.25">
      <c r="Q555" s="195"/>
      <c r="R555" s="195"/>
      <c r="S555" s="195"/>
      <c r="T555" s="90"/>
      <c r="U555" s="90"/>
      <c r="V555" s="90"/>
      <c r="W555" s="90"/>
      <c r="X555" s="90"/>
      <c r="Y555" s="90"/>
      <c r="Z555" s="90"/>
      <c r="AA555" s="90"/>
      <c r="AB555" s="90"/>
      <c r="AC555" s="90"/>
      <c r="AD555" s="90"/>
      <c r="AE555" s="90"/>
      <c r="AF555" s="90"/>
      <c r="AG555" s="90"/>
      <c r="AH555" s="90"/>
      <c r="AI555" s="90"/>
      <c r="AJ555" s="90"/>
      <c r="AK555" s="90"/>
      <c r="AL555" s="90"/>
      <c r="AM555" s="90"/>
      <c r="AN555" s="90"/>
      <c r="AO555" s="90"/>
      <c r="AP555" s="90"/>
      <c r="AQ555" s="90"/>
      <c r="AR555" s="90"/>
      <c r="AS555" s="90"/>
    </row>
    <row r="556" spans="17:45" s="54" customFormat="1" x14ac:dyDescent="0.25">
      <c r="Q556" s="195"/>
      <c r="R556" s="195"/>
      <c r="S556" s="195"/>
      <c r="T556" s="90"/>
      <c r="U556" s="90"/>
      <c r="V556" s="90"/>
      <c r="W556" s="90"/>
      <c r="X556" s="90"/>
      <c r="Y556" s="90"/>
      <c r="Z556" s="90"/>
      <c r="AA556" s="90"/>
      <c r="AB556" s="90"/>
      <c r="AC556" s="90"/>
      <c r="AD556" s="90"/>
      <c r="AE556" s="90"/>
      <c r="AF556" s="90"/>
      <c r="AG556" s="90"/>
      <c r="AH556" s="90"/>
      <c r="AI556" s="90"/>
      <c r="AJ556" s="90"/>
      <c r="AK556" s="90"/>
      <c r="AL556" s="90"/>
      <c r="AM556" s="90"/>
      <c r="AN556" s="90"/>
      <c r="AO556" s="90"/>
      <c r="AP556" s="90"/>
      <c r="AQ556" s="90"/>
      <c r="AR556" s="90"/>
      <c r="AS556" s="90"/>
    </row>
    <row r="557" spans="17:45" s="54" customFormat="1" x14ac:dyDescent="0.25">
      <c r="Q557" s="195"/>
      <c r="R557" s="195"/>
      <c r="S557" s="195"/>
      <c r="T557" s="90"/>
      <c r="U557" s="90"/>
      <c r="V557" s="90"/>
      <c r="W557" s="90"/>
      <c r="X557" s="90"/>
      <c r="Y557" s="90"/>
      <c r="Z557" s="90"/>
      <c r="AA557" s="90"/>
      <c r="AB557" s="90"/>
      <c r="AC557" s="90"/>
      <c r="AD557" s="90"/>
      <c r="AE557" s="90"/>
      <c r="AF557" s="90"/>
      <c r="AG557" s="90"/>
      <c r="AH557" s="90"/>
      <c r="AI557" s="90"/>
      <c r="AJ557" s="90"/>
      <c r="AK557" s="90"/>
      <c r="AL557" s="90"/>
      <c r="AM557" s="90"/>
      <c r="AN557" s="90"/>
      <c r="AO557" s="90"/>
      <c r="AP557" s="90"/>
      <c r="AQ557" s="90"/>
      <c r="AR557" s="90"/>
      <c r="AS557" s="90"/>
    </row>
    <row r="558" spans="17:45" s="54" customFormat="1" x14ac:dyDescent="0.25">
      <c r="Q558" s="195"/>
      <c r="R558" s="195"/>
      <c r="S558" s="195"/>
      <c r="T558" s="90"/>
      <c r="U558" s="90"/>
      <c r="V558" s="90"/>
      <c r="W558" s="90"/>
      <c r="X558" s="90"/>
      <c r="Y558" s="90"/>
      <c r="Z558" s="90"/>
      <c r="AA558" s="90"/>
      <c r="AB558" s="90"/>
      <c r="AC558" s="90"/>
      <c r="AD558" s="90"/>
      <c r="AE558" s="90"/>
      <c r="AF558" s="90"/>
      <c r="AG558" s="90"/>
      <c r="AH558" s="90"/>
      <c r="AI558" s="90"/>
      <c r="AJ558" s="90"/>
      <c r="AK558" s="90"/>
      <c r="AL558" s="90"/>
      <c r="AM558" s="90"/>
      <c r="AN558" s="90"/>
      <c r="AO558" s="90"/>
      <c r="AP558" s="90"/>
      <c r="AQ558" s="90"/>
      <c r="AR558" s="90"/>
      <c r="AS558" s="90"/>
    </row>
    <row r="559" spans="17:45" s="54" customFormat="1" x14ac:dyDescent="0.25">
      <c r="Q559" s="195"/>
      <c r="R559" s="195"/>
      <c r="S559" s="195"/>
      <c r="T559" s="90"/>
      <c r="U559" s="90"/>
      <c r="V559" s="90"/>
      <c r="W559" s="90"/>
      <c r="X559" s="90"/>
      <c r="Y559" s="90"/>
      <c r="Z559" s="90"/>
      <c r="AA559" s="90"/>
      <c r="AB559" s="90"/>
      <c r="AC559" s="90"/>
      <c r="AD559" s="90"/>
      <c r="AE559" s="90"/>
      <c r="AF559" s="90"/>
      <c r="AG559" s="90"/>
      <c r="AH559" s="90"/>
      <c r="AI559" s="90"/>
      <c r="AJ559" s="90"/>
      <c r="AK559" s="90"/>
      <c r="AL559" s="90"/>
      <c r="AM559" s="90"/>
      <c r="AN559" s="90"/>
      <c r="AO559" s="90"/>
      <c r="AP559" s="90"/>
      <c r="AQ559" s="90"/>
      <c r="AR559" s="90"/>
      <c r="AS559" s="90"/>
    </row>
    <row r="560" spans="17:45" s="54" customFormat="1" x14ac:dyDescent="0.25">
      <c r="Q560" s="195"/>
      <c r="R560" s="195"/>
      <c r="S560" s="195"/>
      <c r="T560" s="90"/>
      <c r="U560" s="90"/>
      <c r="V560" s="90"/>
      <c r="W560" s="90"/>
      <c r="X560" s="90"/>
      <c r="Y560" s="90"/>
      <c r="Z560" s="90"/>
      <c r="AA560" s="90"/>
      <c r="AB560" s="90"/>
      <c r="AC560" s="90"/>
      <c r="AD560" s="90"/>
      <c r="AE560" s="90"/>
      <c r="AF560" s="90"/>
      <c r="AG560" s="90"/>
      <c r="AH560" s="90"/>
      <c r="AI560" s="90"/>
      <c r="AJ560" s="90"/>
      <c r="AK560" s="90"/>
      <c r="AL560" s="90"/>
      <c r="AM560" s="90"/>
      <c r="AN560" s="90"/>
      <c r="AO560" s="90"/>
      <c r="AP560" s="90"/>
      <c r="AQ560" s="90"/>
      <c r="AR560" s="90"/>
      <c r="AS560" s="90"/>
    </row>
    <row r="561" spans="17:45" s="54" customFormat="1" x14ac:dyDescent="0.25">
      <c r="Q561" s="195"/>
      <c r="R561" s="195"/>
      <c r="S561" s="195"/>
      <c r="T561" s="90"/>
      <c r="U561" s="90"/>
      <c r="V561" s="90"/>
      <c r="W561" s="90"/>
      <c r="X561" s="90"/>
      <c r="Y561" s="90"/>
      <c r="Z561" s="90"/>
      <c r="AA561" s="90"/>
      <c r="AB561" s="90"/>
      <c r="AC561" s="90"/>
      <c r="AD561" s="90"/>
      <c r="AE561" s="90"/>
      <c r="AF561" s="90"/>
      <c r="AG561" s="90"/>
      <c r="AH561" s="90"/>
      <c r="AI561" s="90"/>
      <c r="AJ561" s="90"/>
      <c r="AK561" s="90"/>
      <c r="AL561" s="90"/>
      <c r="AM561" s="90"/>
      <c r="AN561" s="90"/>
      <c r="AO561" s="90"/>
      <c r="AP561" s="90"/>
      <c r="AQ561" s="90"/>
      <c r="AR561" s="90"/>
      <c r="AS561" s="90"/>
    </row>
    <row r="562" spans="17:45" s="54" customFormat="1" x14ac:dyDescent="0.25">
      <c r="Q562" s="195"/>
      <c r="R562" s="195"/>
      <c r="S562" s="195"/>
      <c r="T562" s="90"/>
      <c r="U562" s="90"/>
      <c r="V562" s="90"/>
      <c r="W562" s="90"/>
      <c r="X562" s="90"/>
      <c r="Y562" s="90"/>
      <c r="Z562" s="90"/>
      <c r="AA562" s="90"/>
      <c r="AB562" s="90"/>
      <c r="AC562" s="90"/>
      <c r="AD562" s="90"/>
      <c r="AE562" s="90"/>
      <c r="AF562" s="90"/>
      <c r="AG562" s="90"/>
      <c r="AH562" s="90"/>
      <c r="AI562" s="90"/>
      <c r="AJ562" s="90"/>
      <c r="AK562" s="90"/>
      <c r="AL562" s="90"/>
      <c r="AM562" s="90"/>
      <c r="AN562" s="90"/>
      <c r="AO562" s="90"/>
      <c r="AP562" s="90"/>
      <c r="AQ562" s="90"/>
      <c r="AR562" s="90"/>
      <c r="AS562" s="90"/>
    </row>
    <row r="563" spans="17:45" s="54" customFormat="1" x14ac:dyDescent="0.25">
      <c r="Q563" s="195"/>
      <c r="R563" s="195"/>
      <c r="S563" s="195"/>
      <c r="T563" s="90"/>
      <c r="U563" s="90"/>
      <c r="V563" s="90"/>
      <c r="W563" s="90"/>
      <c r="X563" s="90"/>
      <c r="Y563" s="90"/>
      <c r="Z563" s="90"/>
      <c r="AA563" s="90"/>
      <c r="AB563" s="90"/>
      <c r="AC563" s="90"/>
      <c r="AD563" s="90"/>
      <c r="AE563" s="90"/>
      <c r="AF563" s="90"/>
      <c r="AG563" s="90"/>
      <c r="AH563" s="90"/>
      <c r="AI563" s="90"/>
      <c r="AJ563" s="90"/>
      <c r="AK563" s="90"/>
      <c r="AL563" s="90"/>
      <c r="AM563" s="90"/>
      <c r="AN563" s="90"/>
      <c r="AO563" s="90"/>
      <c r="AP563" s="90"/>
      <c r="AQ563" s="90"/>
      <c r="AR563" s="90"/>
      <c r="AS563" s="90"/>
    </row>
    <row r="564" spans="17:45" s="54" customFormat="1" x14ac:dyDescent="0.25">
      <c r="Q564" s="195"/>
      <c r="R564" s="195"/>
      <c r="S564" s="195"/>
      <c r="T564" s="90"/>
      <c r="U564" s="90"/>
      <c r="V564" s="90"/>
      <c r="W564" s="90"/>
      <c r="X564" s="90"/>
      <c r="Y564" s="90"/>
      <c r="Z564" s="90"/>
      <c r="AA564" s="90"/>
      <c r="AB564" s="90"/>
      <c r="AC564" s="90"/>
      <c r="AD564" s="90"/>
      <c r="AE564" s="90"/>
      <c r="AF564" s="90"/>
      <c r="AG564" s="90"/>
      <c r="AH564" s="90"/>
      <c r="AI564" s="90"/>
      <c r="AJ564" s="90"/>
      <c r="AK564" s="90"/>
      <c r="AL564" s="90"/>
      <c r="AM564" s="90"/>
      <c r="AN564" s="90"/>
      <c r="AO564" s="90"/>
      <c r="AP564" s="90"/>
      <c r="AQ564" s="90"/>
      <c r="AR564" s="90"/>
      <c r="AS564" s="90"/>
    </row>
    <row r="565" spans="17:45" s="54" customFormat="1" x14ac:dyDescent="0.25">
      <c r="Q565" s="195"/>
      <c r="R565" s="195"/>
      <c r="S565" s="195"/>
      <c r="T565" s="90"/>
      <c r="U565" s="90"/>
      <c r="V565" s="90"/>
      <c r="W565" s="90"/>
      <c r="X565" s="90"/>
      <c r="Y565" s="90"/>
      <c r="Z565" s="90"/>
      <c r="AA565" s="90"/>
      <c r="AB565" s="90"/>
      <c r="AC565" s="90"/>
      <c r="AD565" s="90"/>
      <c r="AE565" s="90"/>
      <c r="AF565" s="90"/>
      <c r="AG565" s="90"/>
      <c r="AH565" s="90"/>
      <c r="AI565" s="90"/>
      <c r="AJ565" s="90"/>
      <c r="AK565" s="90"/>
      <c r="AL565" s="90"/>
      <c r="AM565" s="90"/>
      <c r="AN565" s="90"/>
      <c r="AO565" s="90"/>
      <c r="AP565" s="90"/>
      <c r="AQ565" s="90"/>
      <c r="AR565" s="90"/>
      <c r="AS565" s="90"/>
    </row>
    <row r="566" spans="17:45" s="54" customFormat="1" x14ac:dyDescent="0.25">
      <c r="Q566" s="195"/>
      <c r="R566" s="195"/>
      <c r="S566" s="195"/>
      <c r="T566" s="90"/>
      <c r="U566" s="90"/>
      <c r="V566" s="90"/>
      <c r="W566" s="90"/>
      <c r="X566" s="90"/>
      <c r="Y566" s="90"/>
      <c r="Z566" s="90"/>
      <c r="AA566" s="90"/>
      <c r="AB566" s="90"/>
      <c r="AC566" s="90"/>
      <c r="AD566" s="90"/>
      <c r="AE566" s="90"/>
      <c r="AF566" s="90"/>
      <c r="AG566" s="90"/>
      <c r="AH566" s="90"/>
      <c r="AI566" s="90"/>
      <c r="AJ566" s="90"/>
      <c r="AK566" s="90"/>
      <c r="AL566" s="90"/>
      <c r="AM566" s="90"/>
      <c r="AN566" s="90"/>
      <c r="AO566" s="90"/>
      <c r="AP566" s="90"/>
      <c r="AQ566" s="90"/>
      <c r="AR566" s="90"/>
      <c r="AS566" s="90"/>
    </row>
    <row r="567" spans="17:45" s="54" customFormat="1" x14ac:dyDescent="0.25">
      <c r="Q567" s="195"/>
      <c r="R567" s="195"/>
      <c r="S567" s="195"/>
      <c r="T567" s="90"/>
      <c r="U567" s="90"/>
      <c r="V567" s="90"/>
      <c r="W567" s="90"/>
      <c r="X567" s="90"/>
      <c r="Y567" s="90"/>
      <c r="Z567" s="90"/>
      <c r="AA567" s="90"/>
      <c r="AB567" s="90"/>
      <c r="AC567" s="90"/>
      <c r="AD567" s="90"/>
      <c r="AE567" s="90"/>
      <c r="AF567" s="90"/>
      <c r="AG567" s="90"/>
      <c r="AH567" s="90"/>
      <c r="AI567" s="90"/>
      <c r="AJ567" s="90"/>
      <c r="AK567" s="90"/>
      <c r="AL567" s="90"/>
      <c r="AM567" s="90"/>
      <c r="AN567" s="90"/>
      <c r="AO567" s="90"/>
      <c r="AP567" s="90"/>
      <c r="AQ567" s="90"/>
      <c r="AR567" s="90"/>
      <c r="AS567" s="90"/>
    </row>
    <row r="568" spans="17:45" s="54" customFormat="1" x14ac:dyDescent="0.25">
      <c r="Q568" s="195"/>
      <c r="R568" s="195"/>
      <c r="S568" s="195"/>
      <c r="T568" s="90"/>
      <c r="U568" s="90"/>
      <c r="V568" s="90"/>
      <c r="W568" s="90"/>
      <c r="X568" s="90"/>
      <c r="Y568" s="90"/>
      <c r="Z568" s="90"/>
      <c r="AA568" s="90"/>
      <c r="AB568" s="90"/>
      <c r="AC568" s="90"/>
      <c r="AD568" s="90"/>
      <c r="AE568" s="90"/>
      <c r="AF568" s="90"/>
      <c r="AG568" s="90"/>
      <c r="AH568" s="90"/>
      <c r="AI568" s="90"/>
      <c r="AJ568" s="90"/>
      <c r="AK568" s="90"/>
      <c r="AL568" s="90"/>
      <c r="AM568" s="90"/>
      <c r="AN568" s="90"/>
      <c r="AO568" s="90"/>
      <c r="AP568" s="90"/>
      <c r="AQ568" s="90"/>
      <c r="AR568" s="90"/>
      <c r="AS568" s="90"/>
    </row>
    <row r="569" spans="17:45" s="54" customFormat="1" x14ac:dyDescent="0.25">
      <c r="Q569" s="195"/>
      <c r="R569" s="195"/>
      <c r="S569" s="195"/>
      <c r="T569" s="90"/>
      <c r="U569" s="90"/>
      <c r="V569" s="90"/>
      <c r="W569" s="90"/>
      <c r="X569" s="90"/>
      <c r="Y569" s="90"/>
      <c r="Z569" s="90"/>
      <c r="AA569" s="90"/>
      <c r="AB569" s="90"/>
      <c r="AC569" s="90"/>
      <c r="AD569" s="90"/>
      <c r="AE569" s="90"/>
      <c r="AF569" s="90"/>
      <c r="AG569" s="90"/>
      <c r="AH569" s="90"/>
      <c r="AI569" s="90"/>
      <c r="AJ569" s="90"/>
      <c r="AK569" s="90"/>
      <c r="AL569" s="90"/>
      <c r="AM569" s="90"/>
      <c r="AN569" s="90"/>
      <c r="AO569" s="90"/>
      <c r="AP569" s="90"/>
      <c r="AQ569" s="90"/>
      <c r="AR569" s="90"/>
      <c r="AS569" s="90"/>
    </row>
    <row r="570" spans="17:45" s="54" customFormat="1" x14ac:dyDescent="0.25">
      <c r="Q570" s="195"/>
      <c r="R570" s="195"/>
      <c r="S570" s="195"/>
      <c r="T570" s="90"/>
      <c r="U570" s="90"/>
      <c r="V570" s="90"/>
      <c r="W570" s="90"/>
      <c r="X570" s="90"/>
      <c r="Y570" s="90"/>
      <c r="Z570" s="90"/>
      <c r="AA570" s="90"/>
      <c r="AB570" s="90"/>
      <c r="AC570" s="90"/>
      <c r="AD570" s="90"/>
      <c r="AE570" s="90"/>
      <c r="AF570" s="90"/>
      <c r="AG570" s="90"/>
      <c r="AH570" s="90"/>
      <c r="AI570" s="90"/>
      <c r="AJ570" s="90"/>
      <c r="AK570" s="90"/>
      <c r="AL570" s="90"/>
      <c r="AM570" s="90"/>
      <c r="AN570" s="90"/>
      <c r="AO570" s="90"/>
      <c r="AP570" s="90"/>
      <c r="AQ570" s="90"/>
      <c r="AR570" s="90"/>
      <c r="AS570" s="90"/>
    </row>
    <row r="571" spans="17:45" s="54" customFormat="1" x14ac:dyDescent="0.25">
      <c r="Q571" s="195"/>
      <c r="R571" s="195"/>
      <c r="S571" s="195"/>
      <c r="T571" s="90"/>
      <c r="U571" s="90"/>
      <c r="V571" s="90"/>
      <c r="W571" s="90"/>
      <c r="X571" s="90"/>
      <c r="Y571" s="90"/>
      <c r="Z571" s="90"/>
      <c r="AA571" s="90"/>
      <c r="AB571" s="90"/>
      <c r="AC571" s="90"/>
      <c r="AD571" s="90"/>
      <c r="AE571" s="90"/>
      <c r="AF571" s="90"/>
      <c r="AG571" s="90"/>
      <c r="AH571" s="90"/>
      <c r="AI571" s="90"/>
      <c r="AJ571" s="90"/>
      <c r="AK571" s="90"/>
      <c r="AL571" s="90"/>
      <c r="AM571" s="90"/>
      <c r="AN571" s="90"/>
      <c r="AO571" s="90"/>
      <c r="AP571" s="90"/>
      <c r="AQ571" s="90"/>
      <c r="AR571" s="90"/>
      <c r="AS571" s="90"/>
    </row>
    <row r="572" spans="17:45" s="54" customFormat="1" x14ac:dyDescent="0.25">
      <c r="Q572" s="195"/>
      <c r="R572" s="195"/>
      <c r="S572" s="195"/>
      <c r="T572" s="90"/>
      <c r="U572" s="90"/>
      <c r="V572" s="90"/>
      <c r="W572" s="90"/>
      <c r="X572" s="90"/>
      <c r="Y572" s="90"/>
      <c r="Z572" s="90"/>
      <c r="AA572" s="90"/>
      <c r="AB572" s="90"/>
      <c r="AC572" s="90"/>
      <c r="AD572" s="90"/>
      <c r="AE572" s="90"/>
      <c r="AF572" s="90"/>
      <c r="AG572" s="90"/>
      <c r="AH572" s="90"/>
      <c r="AI572" s="90"/>
      <c r="AJ572" s="90"/>
      <c r="AK572" s="90"/>
      <c r="AL572" s="90"/>
      <c r="AM572" s="90"/>
      <c r="AN572" s="90"/>
      <c r="AO572" s="90"/>
      <c r="AP572" s="90"/>
      <c r="AQ572" s="90"/>
      <c r="AR572" s="90"/>
      <c r="AS572" s="90"/>
    </row>
    <row r="573" spans="17:45" s="54" customFormat="1" x14ac:dyDescent="0.25">
      <c r="Q573" s="195"/>
      <c r="R573" s="195"/>
      <c r="S573" s="195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</row>
    <row r="574" spans="17:45" s="54" customFormat="1" x14ac:dyDescent="0.25">
      <c r="Q574" s="195"/>
      <c r="R574" s="195"/>
      <c r="S574" s="195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</row>
  </sheetData>
  <autoFilter ref="A14:BN168" xr:uid="{41C57005-00AD-456D-846E-44B890B50501}"/>
  <mergeCells count="15">
    <mergeCell ref="L13:P13"/>
    <mergeCell ref="Q13:S13"/>
    <mergeCell ref="D171:H171"/>
    <mergeCell ref="L171:O171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19 C23:C36 C40:C53 C57:C70 C74:C87 C91:C104 C108:C117">
    <cfRule type="expression" priority="95" stopIfTrue="1">
      <formula>#REF!</formula>
    </cfRule>
  </conditionalFormatting>
  <conditionalFormatting sqref="C120:C121">
    <cfRule type="expression" priority="27" stopIfTrue="1">
      <formula>#REF!</formula>
    </cfRule>
  </conditionalFormatting>
  <conditionalFormatting sqref="C125:C132">
    <cfRule type="expression" priority="2" stopIfTrue="1">
      <formula>#REF!</formula>
    </cfRule>
  </conditionalFormatting>
  <conditionalFormatting sqref="C135:C136 C140:C147">
    <cfRule type="expression" priority="3" stopIfTrue="1">
      <formula>#REF!</formula>
    </cfRule>
  </conditionalFormatting>
  <conditionalFormatting sqref="C150:C151">
    <cfRule type="expression" priority="22" stopIfTrue="1">
      <formula>#REF!</formula>
    </cfRule>
  </conditionalFormatting>
  <conditionalFormatting sqref="C155:C162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68D0-E2A7-4201-82B9-CCA1C9A9FD23}">
  <sheetPr>
    <tabColor rgb="FF00B050"/>
    <pageSetUpPr fitToPage="1"/>
  </sheetPr>
  <dimension ref="A1:BQ491"/>
  <sheetViews>
    <sheetView showZeros="0" zoomScaleNormal="100" workbookViewId="0">
      <selection activeCell="F15" sqref="F15:P84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7" width="8.28515625" style="4" customWidth="1"/>
    <col min="8" max="15" width="10.7109375" style="4" customWidth="1"/>
    <col min="16" max="16" width="13.28515625" style="4" customWidth="1"/>
    <col min="17" max="19" width="5.7109375" style="195" customWidth="1" outlineLevel="1"/>
    <col min="20" max="22" width="10.7109375" style="90" customWidth="1" outlineLevel="1"/>
    <col min="23" max="45" width="10.7109375" style="90" customWidth="1"/>
    <col min="46" max="66" width="8.85546875" style="54"/>
    <col min="67" max="16384" width="8.85546875" style="4"/>
  </cols>
  <sheetData>
    <row r="1" spans="1:19" ht="15" x14ac:dyDescent="0.2">
      <c r="A1" s="408" t="s">
        <v>371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19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9" ht="15" x14ac:dyDescent="0.2">
      <c r="A3" s="409" t="str">
        <f>Kopsavilkums!C18</f>
        <v>Šķidrmēslu kanāli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4" spans="1:19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</row>
    <row r="5" spans="1:19" x14ac:dyDescent="0.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19" x14ac:dyDescent="0.2">
      <c r="A6" s="1" t="s">
        <v>64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19" x14ac:dyDescent="0.2">
      <c r="A7" s="1" t="s">
        <v>65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19" x14ac:dyDescent="0.2">
      <c r="A8" s="2" t="s">
        <v>66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19" x14ac:dyDescent="0.2">
      <c r="A9" s="1" t="s">
        <v>54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0</v>
      </c>
      <c r="P9" s="18">
        <f>P85</f>
        <v>0</v>
      </c>
    </row>
    <row r="10" spans="1:19" ht="4.9000000000000004" customHeight="1" x14ac:dyDescent="0.2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19" x14ac:dyDescent="0.2">
      <c r="A11" s="107" t="s">
        <v>67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 xml:space="preserve">Tāme sastādīta: </v>
      </c>
    </row>
    <row r="12" spans="1:19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19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</v>
      </c>
      <c r="E13" s="418" t="s">
        <v>5</v>
      </c>
      <c r="F13" s="412" t="s">
        <v>6</v>
      </c>
      <c r="G13" s="420" t="s">
        <v>19</v>
      </c>
      <c r="H13" s="404" t="s">
        <v>7</v>
      </c>
      <c r="I13" s="405"/>
      <c r="J13" s="405"/>
      <c r="K13" s="406"/>
      <c r="L13" s="405" t="s">
        <v>8</v>
      </c>
      <c r="M13" s="405"/>
      <c r="N13" s="405"/>
      <c r="O13" s="405"/>
      <c r="P13" s="406"/>
      <c r="Q13" s="403"/>
      <c r="R13" s="403"/>
      <c r="S13" s="403"/>
    </row>
    <row r="14" spans="1:19" ht="34.9" customHeight="1" thickBot="1" x14ac:dyDescent="0.25">
      <c r="A14" s="413"/>
      <c r="B14" s="415"/>
      <c r="C14" s="415"/>
      <c r="D14" s="417"/>
      <c r="E14" s="419"/>
      <c r="F14" s="413"/>
      <c r="G14" s="421"/>
      <c r="H14" s="56" t="s">
        <v>17</v>
      </c>
      <c r="I14" s="60" t="s">
        <v>16</v>
      </c>
      <c r="J14" s="57" t="s">
        <v>15</v>
      </c>
      <c r="K14" s="58" t="s">
        <v>18</v>
      </c>
      <c r="L14" s="58" t="s">
        <v>9</v>
      </c>
      <c r="M14" s="56" t="s">
        <v>17</v>
      </c>
      <c r="N14" s="60" t="s">
        <v>16</v>
      </c>
      <c r="O14" s="57" t="s">
        <v>15</v>
      </c>
      <c r="P14" s="59" t="s">
        <v>14</v>
      </c>
      <c r="Q14" s="196"/>
      <c r="R14" s="196"/>
      <c r="S14" s="196"/>
    </row>
    <row r="15" spans="1:19" x14ac:dyDescent="0.2">
      <c r="A15" s="333"/>
      <c r="B15" s="138"/>
      <c r="C15" s="177" t="str">
        <f>A3</f>
        <v>Šķidrmēslu kanāli</v>
      </c>
      <c r="D15" s="139"/>
      <c r="E15" s="140"/>
      <c r="F15" s="119"/>
      <c r="G15" s="61"/>
      <c r="H15" s="26"/>
      <c r="I15" s="27"/>
      <c r="J15" s="27"/>
      <c r="K15" s="25"/>
      <c r="L15" s="25"/>
      <c r="M15" s="26"/>
      <c r="N15" s="27"/>
      <c r="O15" s="28"/>
      <c r="P15" s="29"/>
    </row>
    <row r="16" spans="1:19" x14ac:dyDescent="0.2">
      <c r="A16" s="336"/>
      <c r="B16" s="133"/>
      <c r="C16" s="204" t="s">
        <v>705</v>
      </c>
      <c r="D16" s="178"/>
      <c r="E16" s="205"/>
      <c r="F16" s="119"/>
      <c r="G16" s="61"/>
      <c r="H16" s="26"/>
      <c r="I16" s="27"/>
      <c r="J16" s="27"/>
      <c r="K16" s="25"/>
      <c r="L16" s="25"/>
      <c r="M16" s="26"/>
      <c r="N16" s="27"/>
      <c r="O16" s="28"/>
      <c r="P16" s="29"/>
    </row>
    <row r="17" spans="1:69" ht="22.5" x14ac:dyDescent="0.2">
      <c r="A17" s="337">
        <v>1</v>
      </c>
      <c r="B17" s="133"/>
      <c r="C17" s="179" t="s">
        <v>624</v>
      </c>
      <c r="D17" s="180" t="s">
        <v>43</v>
      </c>
      <c r="E17" s="183">
        <v>18.600000000000001</v>
      </c>
      <c r="F17" s="119"/>
      <c r="G17" s="61"/>
      <c r="H17" s="26"/>
      <c r="I17" s="27"/>
      <c r="J17" s="27"/>
      <c r="K17" s="25"/>
      <c r="L17" s="25"/>
      <c r="M17" s="26"/>
      <c r="N17" s="27"/>
      <c r="O17" s="28"/>
      <c r="P17" s="29"/>
      <c r="T17" s="102"/>
      <c r="U17" s="102"/>
      <c r="V17" s="102"/>
    </row>
    <row r="18" spans="1:69" s="184" customFormat="1" ht="33.75" x14ac:dyDescent="0.15">
      <c r="A18" s="284" t="s">
        <v>35</v>
      </c>
      <c r="B18" s="182"/>
      <c r="C18" s="179" t="s">
        <v>623</v>
      </c>
      <c r="D18" s="180" t="s">
        <v>43</v>
      </c>
      <c r="E18" s="183">
        <v>13.53</v>
      </c>
      <c r="F18" s="26"/>
      <c r="G18" s="61"/>
      <c r="H18" s="26"/>
      <c r="I18" s="27"/>
      <c r="J18" s="27"/>
      <c r="K18" s="25"/>
      <c r="L18" s="25"/>
      <c r="M18" s="26"/>
      <c r="N18" s="27"/>
      <c r="O18" s="28"/>
      <c r="P18" s="29"/>
      <c r="Q18" s="195"/>
      <c r="R18" s="195"/>
      <c r="S18" s="195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</row>
    <row r="19" spans="1:69" s="184" customFormat="1" ht="11.25" x14ac:dyDescent="0.15">
      <c r="A19" s="334"/>
      <c r="B19" s="176"/>
      <c r="C19" s="185" t="s">
        <v>267</v>
      </c>
      <c r="D19" s="180" t="s">
        <v>42</v>
      </c>
      <c r="E19" s="183">
        <f>ROUND(E18*0.15*1.2,2)</f>
        <v>2.44</v>
      </c>
      <c r="F19" s="26"/>
      <c r="G19" s="61"/>
      <c r="H19" s="26"/>
      <c r="I19" s="27"/>
      <c r="J19" s="27"/>
      <c r="K19" s="25"/>
      <c r="L19" s="25"/>
      <c r="M19" s="26"/>
      <c r="N19" s="27"/>
      <c r="O19" s="28"/>
      <c r="P19" s="29"/>
      <c r="Q19" s="195"/>
      <c r="R19" s="195"/>
      <c r="S19" s="195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</row>
    <row r="20" spans="1:69" s="184" customFormat="1" ht="11.25" x14ac:dyDescent="0.15">
      <c r="A20" s="284" t="s">
        <v>36</v>
      </c>
      <c r="B20" s="182"/>
      <c r="C20" s="206" t="s">
        <v>531</v>
      </c>
      <c r="D20" s="180" t="s">
        <v>43</v>
      </c>
      <c r="E20" s="181">
        <f>E18</f>
        <v>13.53</v>
      </c>
      <c r="F20" s="26"/>
      <c r="G20" s="61"/>
      <c r="H20" s="26"/>
      <c r="I20" s="27"/>
      <c r="J20" s="27"/>
      <c r="K20" s="25"/>
      <c r="L20" s="25"/>
      <c r="M20" s="26"/>
      <c r="N20" s="27"/>
      <c r="O20" s="28"/>
      <c r="P20" s="29"/>
      <c r="Q20" s="195"/>
      <c r="R20" s="195"/>
      <c r="S20" s="195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</row>
    <row r="21" spans="1:69" s="184" customFormat="1" ht="22.5" x14ac:dyDescent="0.15">
      <c r="A21" s="334"/>
      <c r="B21" s="182"/>
      <c r="C21" s="185" t="s">
        <v>503</v>
      </c>
      <c r="D21" s="180" t="s">
        <v>43</v>
      </c>
      <c r="E21" s="181">
        <f>ROUND(E20*1.15,2)</f>
        <v>15.56</v>
      </c>
      <c r="F21" s="26"/>
      <c r="G21" s="61"/>
      <c r="H21" s="26"/>
      <c r="I21" s="27"/>
      <c r="J21" s="27"/>
      <c r="K21" s="25"/>
      <c r="L21" s="25"/>
      <c r="M21" s="26"/>
      <c r="N21" s="27"/>
      <c r="O21" s="28"/>
      <c r="P21" s="29"/>
      <c r="Q21" s="195"/>
      <c r="R21" s="195"/>
      <c r="S21" s="195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</row>
    <row r="22" spans="1:69" s="184" customFormat="1" ht="11.25" x14ac:dyDescent="0.15">
      <c r="A22" s="284" t="s">
        <v>37</v>
      </c>
      <c r="B22" s="186"/>
      <c r="C22" s="206" t="s">
        <v>706</v>
      </c>
      <c r="D22" s="180" t="s">
        <v>43</v>
      </c>
      <c r="E22" s="181">
        <v>4.5</v>
      </c>
      <c r="F22" s="26"/>
      <c r="G22" s="61"/>
      <c r="H22" s="26"/>
      <c r="I22" s="27"/>
      <c r="J22" s="27"/>
      <c r="K22" s="25"/>
      <c r="L22" s="25"/>
      <c r="M22" s="26"/>
      <c r="N22" s="27"/>
      <c r="O22" s="28"/>
      <c r="P22" s="29"/>
      <c r="Q22" s="195"/>
      <c r="R22" s="195"/>
      <c r="S22" s="195"/>
      <c r="T22" s="90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</row>
    <row r="23" spans="1:69" s="184" customFormat="1" ht="22.5" x14ac:dyDescent="0.15">
      <c r="A23" s="334"/>
      <c r="B23" s="186"/>
      <c r="C23" s="185" t="s">
        <v>248</v>
      </c>
      <c r="D23" s="180" t="s">
        <v>43</v>
      </c>
      <c r="E23" s="181">
        <f>ROUND(E22*1.15,2)</f>
        <v>5.18</v>
      </c>
      <c r="F23" s="26"/>
      <c r="G23" s="61"/>
      <c r="H23" s="26"/>
      <c r="I23" s="27"/>
      <c r="J23" s="27"/>
      <c r="K23" s="25"/>
      <c r="L23" s="25"/>
      <c r="M23" s="26"/>
      <c r="N23" s="27"/>
      <c r="O23" s="28"/>
      <c r="P23" s="29"/>
      <c r="Q23" s="195"/>
      <c r="R23" s="195"/>
      <c r="S23" s="195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</row>
    <row r="24" spans="1:69" s="184" customFormat="1" ht="33.75" x14ac:dyDescent="0.15">
      <c r="A24" s="334"/>
      <c r="B24" s="186"/>
      <c r="C24" s="185" t="s">
        <v>254</v>
      </c>
      <c r="D24" s="180" t="s">
        <v>43</v>
      </c>
      <c r="E24" s="181">
        <f>E22</f>
        <v>4.5</v>
      </c>
      <c r="F24" s="26"/>
      <c r="G24" s="61"/>
      <c r="H24" s="26"/>
      <c r="I24" s="27"/>
      <c r="J24" s="27"/>
      <c r="K24" s="25"/>
      <c r="L24" s="25"/>
      <c r="M24" s="26"/>
      <c r="N24" s="27"/>
      <c r="O24" s="28"/>
      <c r="P24" s="29"/>
      <c r="Q24" s="195"/>
      <c r="R24" s="195"/>
      <c r="S24" s="195"/>
      <c r="T24" s="90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</row>
    <row r="25" spans="1:69" s="184" customFormat="1" ht="22.5" x14ac:dyDescent="0.15">
      <c r="A25" s="284" t="s">
        <v>38</v>
      </c>
      <c r="B25" s="176"/>
      <c r="C25" s="179" t="s">
        <v>707</v>
      </c>
      <c r="D25" s="180" t="s">
        <v>43</v>
      </c>
      <c r="E25" s="183">
        <v>10.51</v>
      </c>
      <c r="F25" s="26"/>
      <c r="G25" s="61"/>
      <c r="H25" s="26"/>
      <c r="I25" s="27"/>
      <c r="J25" s="27"/>
      <c r="K25" s="25"/>
      <c r="L25" s="25"/>
      <c r="M25" s="26"/>
      <c r="N25" s="27"/>
      <c r="O25" s="28"/>
      <c r="P25" s="29"/>
      <c r="Q25" s="195"/>
      <c r="R25" s="195"/>
      <c r="S25" s="195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</row>
    <row r="26" spans="1:69" s="184" customFormat="1" ht="11.25" x14ac:dyDescent="0.15">
      <c r="A26" s="334"/>
      <c r="B26" s="186"/>
      <c r="C26" s="208" t="s">
        <v>530</v>
      </c>
      <c r="D26" s="209" t="s">
        <v>43</v>
      </c>
      <c r="E26" s="210">
        <v>20.8</v>
      </c>
      <c r="F26" s="26"/>
      <c r="G26" s="61"/>
      <c r="H26" s="26"/>
      <c r="I26" s="27"/>
      <c r="J26" s="27"/>
      <c r="K26" s="25"/>
      <c r="L26" s="25"/>
      <c r="M26" s="26"/>
      <c r="N26" s="27"/>
      <c r="O26" s="28"/>
      <c r="P26" s="29"/>
      <c r="Q26" s="195"/>
      <c r="R26" s="195"/>
      <c r="S26" s="195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</row>
    <row r="27" spans="1:69" s="184" customFormat="1" ht="22.5" x14ac:dyDescent="0.15">
      <c r="A27" s="334"/>
      <c r="B27" s="186"/>
      <c r="C27" s="185" t="s">
        <v>249</v>
      </c>
      <c r="D27" s="180" t="s">
        <v>51</v>
      </c>
      <c r="E27" s="183">
        <v>0.47899999999999998</v>
      </c>
      <c r="F27" s="26"/>
      <c r="G27" s="61"/>
      <c r="H27" s="26"/>
      <c r="I27" s="27"/>
      <c r="J27" s="27"/>
      <c r="K27" s="25"/>
      <c r="L27" s="25"/>
      <c r="M27" s="26"/>
      <c r="N27" s="27"/>
      <c r="O27" s="28"/>
      <c r="P27" s="29"/>
      <c r="Q27" s="195"/>
      <c r="R27" s="195"/>
      <c r="S27" s="195"/>
      <c r="T27" s="90"/>
      <c r="U27" s="102"/>
      <c r="V27" s="207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</row>
    <row r="28" spans="1:69" s="184" customFormat="1" ht="22.5" x14ac:dyDescent="0.15">
      <c r="A28" s="334"/>
      <c r="B28" s="186"/>
      <c r="C28" s="185" t="s">
        <v>508</v>
      </c>
      <c r="D28" s="180" t="s">
        <v>44</v>
      </c>
      <c r="E28" s="181">
        <f>ROUND(E25/0.4,2)</f>
        <v>26.28</v>
      </c>
      <c r="F28" s="26"/>
      <c r="G28" s="61"/>
      <c r="H28" s="26"/>
      <c r="I28" s="27"/>
      <c r="J28" s="27"/>
      <c r="K28" s="25"/>
      <c r="L28" s="25"/>
      <c r="M28" s="26"/>
      <c r="N28" s="27"/>
      <c r="O28" s="28"/>
      <c r="P28" s="29"/>
      <c r="Q28" s="195"/>
      <c r="R28" s="195"/>
      <c r="S28" s="195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</row>
    <row r="29" spans="1:69" s="184" customFormat="1" ht="22.5" x14ac:dyDescent="0.15">
      <c r="A29" s="334"/>
      <c r="B29" s="186"/>
      <c r="C29" s="185" t="s">
        <v>505</v>
      </c>
      <c r="D29" s="180" t="s">
        <v>44</v>
      </c>
      <c r="E29" s="181">
        <f>E28</f>
        <v>26.28</v>
      </c>
      <c r="F29" s="26"/>
      <c r="G29" s="61"/>
      <c r="H29" s="26"/>
      <c r="I29" s="27"/>
      <c r="J29" s="27"/>
      <c r="K29" s="25"/>
      <c r="L29" s="25"/>
      <c r="M29" s="26"/>
      <c r="N29" s="27"/>
      <c r="O29" s="28"/>
      <c r="P29" s="29"/>
      <c r="Q29" s="195"/>
      <c r="R29" s="195"/>
      <c r="S29" s="195"/>
      <c r="T29" s="102"/>
      <c r="U29" s="102"/>
      <c r="V29" s="102"/>
      <c r="W29" s="323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</row>
    <row r="30" spans="1:69" s="184" customFormat="1" ht="22.5" x14ac:dyDescent="0.15">
      <c r="A30" s="334"/>
      <c r="B30" s="186"/>
      <c r="C30" s="185" t="s">
        <v>506</v>
      </c>
      <c r="D30" s="180" t="s">
        <v>403</v>
      </c>
      <c r="E30" s="181">
        <f>ROUND(E25/50,2)</f>
        <v>0.21</v>
      </c>
      <c r="F30" s="26"/>
      <c r="G30" s="61"/>
      <c r="H30" s="26"/>
      <c r="I30" s="27"/>
      <c r="J30" s="27"/>
      <c r="K30" s="25"/>
      <c r="L30" s="25"/>
      <c r="M30" s="26"/>
      <c r="N30" s="27"/>
      <c r="O30" s="28"/>
      <c r="P30" s="29"/>
      <c r="Q30" s="195"/>
      <c r="R30" s="195"/>
      <c r="S30" s="195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</row>
    <row r="31" spans="1:69" s="184" customFormat="1" ht="22.5" x14ac:dyDescent="0.15">
      <c r="A31" s="284" t="s">
        <v>39</v>
      </c>
      <c r="B31" s="182"/>
      <c r="C31" s="179" t="s">
        <v>622</v>
      </c>
      <c r="D31" s="180" t="s">
        <v>42</v>
      </c>
      <c r="E31" s="181">
        <f>ROUND(E25*0.2,2)</f>
        <v>2.1</v>
      </c>
      <c r="F31" s="26"/>
      <c r="G31" s="61"/>
      <c r="H31" s="26"/>
      <c r="I31" s="27"/>
      <c r="J31" s="27"/>
      <c r="K31" s="25"/>
      <c r="L31" s="25"/>
      <c r="M31" s="26"/>
      <c r="N31" s="27"/>
      <c r="O31" s="28"/>
      <c r="P31" s="29"/>
      <c r="Q31" s="195"/>
      <c r="R31" s="195"/>
      <c r="S31" s="195"/>
      <c r="T31" s="90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</row>
    <row r="32" spans="1:69" s="184" customFormat="1" ht="11.25" x14ac:dyDescent="0.15">
      <c r="A32" s="334"/>
      <c r="B32" s="176"/>
      <c r="C32" s="187" t="s">
        <v>657</v>
      </c>
      <c r="D32" s="180" t="s">
        <v>42</v>
      </c>
      <c r="E32" s="181">
        <f>ROUND(E31*1.1,2)</f>
        <v>2.31</v>
      </c>
      <c r="F32" s="26"/>
      <c r="G32" s="61"/>
      <c r="H32" s="26"/>
      <c r="I32" s="27"/>
      <c r="J32" s="27"/>
      <c r="K32" s="25"/>
      <c r="L32" s="25"/>
      <c r="M32" s="26"/>
      <c r="N32" s="27"/>
      <c r="O32" s="28"/>
      <c r="P32" s="29"/>
      <c r="Q32" s="195"/>
      <c r="R32" s="195"/>
      <c r="S32" s="195"/>
      <c r="T32" s="90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</row>
    <row r="33" spans="1:69" s="184" customFormat="1" ht="11.25" x14ac:dyDescent="0.15">
      <c r="A33" s="334"/>
      <c r="B33" s="186"/>
      <c r="C33" s="185" t="s">
        <v>245</v>
      </c>
      <c r="D33" s="180" t="s">
        <v>246</v>
      </c>
      <c r="E33" s="181">
        <f>ROUND(E32/8*1,2)</f>
        <v>0.28999999999999998</v>
      </c>
      <c r="F33" s="26"/>
      <c r="G33" s="61"/>
      <c r="H33" s="26"/>
      <c r="I33" s="27"/>
      <c r="J33" s="27"/>
      <c r="K33" s="25"/>
      <c r="L33" s="25"/>
      <c r="M33" s="26"/>
      <c r="N33" s="27"/>
      <c r="O33" s="28"/>
      <c r="P33" s="29"/>
      <c r="Q33" s="195"/>
      <c r="R33" s="195"/>
      <c r="S33" s="195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</row>
    <row r="34" spans="1:69" s="184" customFormat="1" ht="11.25" x14ac:dyDescent="0.15">
      <c r="A34" s="334"/>
      <c r="B34" s="186"/>
      <c r="C34" s="185" t="s">
        <v>247</v>
      </c>
      <c r="D34" s="180" t="s">
        <v>246</v>
      </c>
      <c r="E34" s="181">
        <f>ROUND(E32/8*2,2)</f>
        <v>0.57999999999999996</v>
      </c>
      <c r="F34" s="26"/>
      <c r="G34" s="61"/>
      <c r="H34" s="26"/>
      <c r="I34" s="27"/>
      <c r="J34" s="27"/>
      <c r="K34" s="25"/>
      <c r="L34" s="25"/>
      <c r="M34" s="26"/>
      <c r="N34" s="27"/>
      <c r="O34" s="28"/>
      <c r="P34" s="29"/>
      <c r="Q34" s="195"/>
      <c r="R34" s="195"/>
      <c r="S34" s="195"/>
      <c r="T34" s="90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</row>
    <row r="35" spans="1:69" s="184" customFormat="1" ht="11.25" x14ac:dyDescent="0.15">
      <c r="A35" s="334"/>
      <c r="B35" s="186"/>
      <c r="C35" s="185" t="s">
        <v>252</v>
      </c>
      <c r="D35" s="180" t="s">
        <v>48</v>
      </c>
      <c r="E35" s="183">
        <v>1</v>
      </c>
      <c r="F35" s="26"/>
      <c r="G35" s="61"/>
      <c r="H35" s="26"/>
      <c r="I35" s="27"/>
      <c r="J35" s="27"/>
      <c r="K35" s="25"/>
      <c r="L35" s="25"/>
      <c r="M35" s="26"/>
      <c r="N35" s="27"/>
      <c r="O35" s="28"/>
      <c r="P35" s="29"/>
      <c r="Q35" s="195"/>
      <c r="R35" s="195"/>
      <c r="S35" s="195"/>
      <c r="T35" s="207"/>
      <c r="U35" s="207"/>
      <c r="V35" s="207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</row>
    <row r="36" spans="1:69" s="184" customFormat="1" ht="11.25" x14ac:dyDescent="0.15">
      <c r="A36" s="284">
        <v>7</v>
      </c>
      <c r="B36" s="186"/>
      <c r="C36" s="179" t="s">
        <v>534</v>
      </c>
      <c r="D36" s="180" t="s">
        <v>44</v>
      </c>
      <c r="E36" s="181">
        <v>28.6</v>
      </c>
      <c r="F36" s="26"/>
      <c r="G36" s="61"/>
      <c r="H36" s="26"/>
      <c r="I36" s="27"/>
      <c r="J36" s="27"/>
      <c r="K36" s="25"/>
      <c r="L36" s="25"/>
      <c r="M36" s="26"/>
      <c r="N36" s="27"/>
      <c r="O36" s="28"/>
      <c r="P36" s="29"/>
      <c r="Q36" s="195"/>
      <c r="R36" s="195"/>
      <c r="S36" s="195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</row>
    <row r="37" spans="1:69" s="184" customFormat="1" ht="11.25" x14ac:dyDescent="0.15">
      <c r="A37" s="334"/>
      <c r="B37" s="186"/>
      <c r="C37" s="185" t="s">
        <v>536</v>
      </c>
      <c r="D37" s="180" t="s">
        <v>44</v>
      </c>
      <c r="E37" s="181">
        <f>ROUND(E36*1.1,2)</f>
        <v>31.46</v>
      </c>
      <c r="F37" s="26"/>
      <c r="G37" s="61"/>
      <c r="H37" s="26"/>
      <c r="I37" s="27"/>
      <c r="J37" s="27"/>
      <c r="K37" s="25"/>
      <c r="L37" s="25"/>
      <c r="M37" s="26"/>
      <c r="N37" s="27"/>
      <c r="O37" s="28"/>
      <c r="P37" s="29"/>
      <c r="Q37" s="195"/>
      <c r="R37" s="195"/>
      <c r="S37" s="195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</row>
    <row r="38" spans="1:69" ht="33.75" x14ac:dyDescent="0.2">
      <c r="A38" s="337">
        <v>8</v>
      </c>
      <c r="B38" s="133"/>
      <c r="C38" s="206" t="s">
        <v>537</v>
      </c>
      <c r="D38" s="180" t="s">
        <v>43</v>
      </c>
      <c r="E38" s="181">
        <v>69</v>
      </c>
      <c r="F38" s="26"/>
      <c r="G38" s="61"/>
      <c r="H38" s="26"/>
      <c r="I38" s="27"/>
      <c r="J38" s="27"/>
      <c r="K38" s="25"/>
      <c r="L38" s="25"/>
      <c r="M38" s="26"/>
      <c r="N38" s="27"/>
      <c r="O38" s="28"/>
      <c r="P38" s="29"/>
    </row>
    <row r="39" spans="1:69" ht="22.5" x14ac:dyDescent="0.2">
      <c r="A39" s="336"/>
      <c r="B39" s="133"/>
      <c r="C39" s="185" t="s">
        <v>268</v>
      </c>
      <c r="D39" s="180" t="s">
        <v>43</v>
      </c>
      <c r="E39" s="183">
        <f>E38</f>
        <v>69</v>
      </c>
      <c r="F39" s="26"/>
      <c r="G39" s="61"/>
      <c r="H39" s="26"/>
      <c r="I39" s="27"/>
      <c r="J39" s="27"/>
      <c r="K39" s="25"/>
      <c r="L39" s="25"/>
      <c r="M39" s="26"/>
      <c r="N39" s="27"/>
      <c r="O39" s="28"/>
      <c r="P39" s="29"/>
    </row>
    <row r="40" spans="1:69" s="184" customFormat="1" ht="22.5" x14ac:dyDescent="0.15">
      <c r="A40" s="334"/>
      <c r="B40" s="186"/>
      <c r="C40" s="185" t="s">
        <v>248</v>
      </c>
      <c r="D40" s="180" t="s">
        <v>43</v>
      </c>
      <c r="E40" s="181">
        <f>ROUND(E38*0.1,2)</f>
        <v>6.9</v>
      </c>
      <c r="F40" s="26"/>
      <c r="G40" s="61"/>
      <c r="H40" s="26"/>
      <c r="I40" s="27"/>
      <c r="J40" s="27"/>
      <c r="K40" s="25"/>
      <c r="L40" s="25"/>
      <c r="M40" s="26"/>
      <c r="N40" s="27"/>
      <c r="O40" s="28"/>
      <c r="P40" s="29"/>
      <c r="Q40" s="195"/>
      <c r="R40" s="195"/>
      <c r="S40" s="195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</row>
    <row r="41" spans="1:69" ht="33.75" x14ac:dyDescent="0.2">
      <c r="A41" s="336"/>
      <c r="B41" s="133"/>
      <c r="C41" s="185" t="s">
        <v>269</v>
      </c>
      <c r="D41" s="180" t="s">
        <v>43</v>
      </c>
      <c r="E41" s="183">
        <f>E38</f>
        <v>69</v>
      </c>
      <c r="F41" s="26"/>
      <c r="G41" s="61"/>
      <c r="H41" s="26"/>
      <c r="I41" s="27"/>
      <c r="J41" s="27"/>
      <c r="K41" s="25"/>
      <c r="L41" s="25"/>
      <c r="M41" s="26"/>
      <c r="N41" s="27"/>
      <c r="O41" s="28"/>
      <c r="P41" s="29"/>
    </row>
    <row r="42" spans="1:69" s="184" customFormat="1" ht="22.5" x14ac:dyDescent="0.15">
      <c r="A42" s="284">
        <v>9</v>
      </c>
      <c r="B42" s="176"/>
      <c r="C42" s="179" t="s">
        <v>539</v>
      </c>
      <c r="D42" s="180" t="s">
        <v>51</v>
      </c>
      <c r="E42" s="181">
        <v>0.33700000000000002</v>
      </c>
      <c r="F42" s="26"/>
      <c r="G42" s="61"/>
      <c r="H42" s="26"/>
      <c r="I42" s="27"/>
      <c r="J42" s="27"/>
      <c r="K42" s="25"/>
      <c r="L42" s="25"/>
      <c r="M42" s="26"/>
      <c r="N42" s="27"/>
      <c r="O42" s="28"/>
      <c r="P42" s="29"/>
      <c r="Q42" s="195"/>
      <c r="R42" s="195"/>
      <c r="S42" s="195"/>
      <c r="T42" s="90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</row>
    <row r="43" spans="1:69" s="184" customFormat="1" ht="22.5" x14ac:dyDescent="0.15">
      <c r="A43" s="334"/>
      <c r="B43" s="186"/>
      <c r="C43" s="185" t="s">
        <v>249</v>
      </c>
      <c r="D43" s="180" t="s">
        <v>51</v>
      </c>
      <c r="E43" s="183">
        <f>E42*1.15</f>
        <v>0.38755000000000001</v>
      </c>
      <c r="F43" s="26"/>
      <c r="G43" s="61"/>
      <c r="H43" s="26"/>
      <c r="I43" s="27"/>
      <c r="J43" s="27"/>
      <c r="K43" s="25"/>
      <c r="L43" s="25"/>
      <c r="M43" s="26"/>
      <c r="N43" s="27"/>
      <c r="O43" s="28"/>
      <c r="P43" s="29"/>
      <c r="Q43" s="195"/>
      <c r="R43" s="195"/>
      <c r="S43" s="195"/>
      <c r="T43" s="90"/>
      <c r="U43" s="102"/>
      <c r="V43" s="207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</row>
    <row r="44" spans="1:69" s="184" customFormat="1" ht="22.5" x14ac:dyDescent="0.15">
      <c r="A44" s="334"/>
      <c r="B44" s="182"/>
      <c r="C44" s="185" t="s">
        <v>250</v>
      </c>
      <c r="D44" s="180" t="s">
        <v>48</v>
      </c>
      <c r="E44" s="183">
        <v>1</v>
      </c>
      <c r="F44" s="26"/>
      <c r="G44" s="61"/>
      <c r="H44" s="26"/>
      <c r="I44" s="27"/>
      <c r="J44" s="27"/>
      <c r="K44" s="25"/>
      <c r="L44" s="25"/>
      <c r="M44" s="26"/>
      <c r="N44" s="27"/>
      <c r="O44" s="28"/>
      <c r="P44" s="29"/>
      <c r="Q44" s="195"/>
      <c r="R44" s="195"/>
      <c r="S44" s="195"/>
      <c r="T44" s="90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</row>
    <row r="45" spans="1:69" s="184" customFormat="1" ht="22.5" x14ac:dyDescent="0.15">
      <c r="A45" s="284">
        <v>10</v>
      </c>
      <c r="B45" s="176"/>
      <c r="C45" s="179" t="s">
        <v>538</v>
      </c>
      <c r="D45" s="180" t="s">
        <v>42</v>
      </c>
      <c r="E45" s="181">
        <v>5.08</v>
      </c>
      <c r="F45" s="26"/>
      <c r="G45" s="61"/>
      <c r="H45" s="26"/>
      <c r="I45" s="27"/>
      <c r="J45" s="27"/>
      <c r="K45" s="25"/>
      <c r="L45" s="25"/>
      <c r="M45" s="26"/>
      <c r="N45" s="27"/>
      <c r="O45" s="28"/>
      <c r="P45" s="29"/>
      <c r="Q45" s="195"/>
      <c r="R45" s="195"/>
      <c r="S45" s="195"/>
      <c r="T45" s="90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</row>
    <row r="46" spans="1:69" s="184" customFormat="1" ht="11.25" x14ac:dyDescent="0.15">
      <c r="A46" s="334"/>
      <c r="B46" s="176"/>
      <c r="C46" s="185" t="s">
        <v>532</v>
      </c>
      <c r="D46" s="180" t="s">
        <v>42</v>
      </c>
      <c r="E46" s="181">
        <f>ROUND(E45*1.1,2)</f>
        <v>5.59</v>
      </c>
      <c r="F46" s="26"/>
      <c r="G46" s="61"/>
      <c r="H46" s="26"/>
      <c r="I46" s="27"/>
      <c r="J46" s="27"/>
      <c r="K46" s="25"/>
      <c r="L46" s="25"/>
      <c r="M46" s="26"/>
      <c r="N46" s="27"/>
      <c r="O46" s="28"/>
      <c r="P46" s="29"/>
      <c r="Q46" s="195"/>
      <c r="R46" s="195"/>
      <c r="S46" s="195"/>
      <c r="T46" s="90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</row>
    <row r="47" spans="1:69" s="184" customFormat="1" ht="11.25" x14ac:dyDescent="0.15">
      <c r="A47" s="334"/>
      <c r="B47" s="186"/>
      <c r="C47" s="185" t="s">
        <v>245</v>
      </c>
      <c r="D47" s="180" t="s">
        <v>246</v>
      </c>
      <c r="E47" s="181">
        <f>ROUND(E46/8*1,2)</f>
        <v>0.7</v>
      </c>
      <c r="F47" s="26"/>
      <c r="G47" s="61"/>
      <c r="H47" s="26"/>
      <c r="I47" s="27"/>
      <c r="J47" s="27"/>
      <c r="K47" s="25"/>
      <c r="L47" s="25"/>
      <c r="M47" s="26"/>
      <c r="N47" s="27"/>
      <c r="O47" s="28"/>
      <c r="P47" s="29"/>
      <c r="Q47" s="195"/>
      <c r="R47" s="195"/>
      <c r="S47" s="195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</row>
    <row r="48" spans="1:69" s="184" customFormat="1" ht="11.25" x14ac:dyDescent="0.15">
      <c r="A48" s="334"/>
      <c r="B48" s="186"/>
      <c r="C48" s="185" t="s">
        <v>247</v>
      </c>
      <c r="D48" s="180" t="s">
        <v>246</v>
      </c>
      <c r="E48" s="181">
        <f>ROUND(E46/8*2,2)</f>
        <v>1.4</v>
      </c>
      <c r="F48" s="26"/>
      <c r="G48" s="61"/>
      <c r="H48" s="26"/>
      <c r="I48" s="27"/>
      <c r="J48" s="27"/>
      <c r="K48" s="25"/>
      <c r="L48" s="25"/>
      <c r="M48" s="26"/>
      <c r="N48" s="27"/>
      <c r="O48" s="28"/>
      <c r="P48" s="29"/>
      <c r="Q48" s="195"/>
      <c r="R48" s="195"/>
      <c r="S48" s="195"/>
      <c r="T48" s="90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</row>
    <row r="49" spans="1:69" s="184" customFormat="1" ht="11.25" x14ac:dyDescent="0.15">
      <c r="A49" s="334"/>
      <c r="B49" s="186"/>
      <c r="C49" s="185" t="s">
        <v>252</v>
      </c>
      <c r="D49" s="180" t="s">
        <v>48</v>
      </c>
      <c r="E49" s="183">
        <v>1</v>
      </c>
      <c r="F49" s="26"/>
      <c r="G49" s="61"/>
      <c r="H49" s="26"/>
      <c r="I49" s="27"/>
      <c r="J49" s="27"/>
      <c r="K49" s="25"/>
      <c r="L49" s="25"/>
      <c r="M49" s="26"/>
      <c r="N49" s="27"/>
      <c r="O49" s="28"/>
      <c r="P49" s="29"/>
      <c r="Q49" s="195"/>
      <c r="R49" s="195"/>
      <c r="S49" s="195"/>
      <c r="T49" s="207"/>
      <c r="U49" s="207"/>
      <c r="V49" s="207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69" ht="22.5" x14ac:dyDescent="0.2">
      <c r="A50" s="337">
        <v>11</v>
      </c>
      <c r="B50" s="133"/>
      <c r="C50" s="206" t="s">
        <v>541</v>
      </c>
      <c r="D50" s="180" t="s">
        <v>43</v>
      </c>
      <c r="E50" s="181">
        <f>E25</f>
        <v>10.51</v>
      </c>
      <c r="F50" s="119"/>
      <c r="G50" s="61"/>
      <c r="H50" s="26"/>
      <c r="I50" s="27"/>
      <c r="J50" s="27"/>
      <c r="K50" s="25"/>
      <c r="L50" s="25"/>
      <c r="M50" s="26"/>
      <c r="N50" s="27"/>
      <c r="O50" s="28"/>
      <c r="P50" s="29"/>
    </row>
    <row r="51" spans="1:69" x14ac:dyDescent="0.2">
      <c r="A51" s="336"/>
      <c r="B51" s="133"/>
      <c r="C51" s="185" t="s">
        <v>540</v>
      </c>
      <c r="D51" s="180" t="s">
        <v>43</v>
      </c>
      <c r="E51" s="183">
        <f>E50</f>
        <v>10.51</v>
      </c>
      <c r="F51" s="119"/>
      <c r="G51" s="61"/>
      <c r="H51" s="26"/>
      <c r="I51" s="27"/>
      <c r="J51" s="27"/>
      <c r="K51" s="25"/>
      <c r="L51" s="25"/>
      <c r="M51" s="26"/>
      <c r="N51" s="27"/>
      <c r="O51" s="28"/>
      <c r="P51" s="29"/>
    </row>
    <row r="52" spans="1:69" s="184" customFormat="1" ht="11.25" x14ac:dyDescent="0.15">
      <c r="A52" s="334"/>
      <c r="B52" s="186"/>
      <c r="C52" s="185" t="s">
        <v>252</v>
      </c>
      <c r="D52" s="180" t="s">
        <v>48</v>
      </c>
      <c r="E52" s="183">
        <v>1</v>
      </c>
      <c r="F52" s="119"/>
      <c r="G52" s="61"/>
      <c r="H52" s="26"/>
      <c r="I52" s="27"/>
      <c r="J52" s="27"/>
      <c r="K52" s="25"/>
      <c r="L52" s="25"/>
      <c r="M52" s="26"/>
      <c r="N52" s="27"/>
      <c r="O52" s="28"/>
      <c r="P52" s="29"/>
      <c r="Q52" s="195"/>
      <c r="R52" s="195"/>
      <c r="S52" s="195"/>
      <c r="T52" s="207"/>
      <c r="U52" s="207"/>
      <c r="V52" s="207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</row>
    <row r="53" spans="1:69" x14ac:dyDescent="0.2">
      <c r="A53" s="336"/>
      <c r="B53" s="133"/>
      <c r="C53" s="204" t="s">
        <v>699</v>
      </c>
      <c r="D53" s="324"/>
      <c r="E53" s="325"/>
      <c r="F53" s="119"/>
      <c r="G53" s="61"/>
      <c r="H53" s="26"/>
      <c r="I53" s="27"/>
      <c r="J53" s="27"/>
      <c r="K53" s="25"/>
      <c r="L53" s="25"/>
      <c r="M53" s="26"/>
      <c r="N53" s="27"/>
      <c r="O53" s="28"/>
      <c r="P53" s="29"/>
    </row>
    <row r="54" spans="1:69" ht="22.5" x14ac:dyDescent="0.2">
      <c r="A54" s="337">
        <v>12</v>
      </c>
      <c r="B54" s="133"/>
      <c r="C54" s="179" t="s">
        <v>547</v>
      </c>
      <c r="D54" s="180" t="s">
        <v>43</v>
      </c>
      <c r="E54" s="181">
        <v>15.6</v>
      </c>
      <c r="F54" s="119"/>
      <c r="G54" s="61"/>
      <c r="H54" s="26"/>
      <c r="I54" s="27"/>
      <c r="J54" s="27"/>
      <c r="K54" s="25"/>
      <c r="L54" s="25"/>
      <c r="M54" s="26"/>
      <c r="N54" s="27"/>
      <c r="O54" s="28"/>
      <c r="P54" s="29"/>
      <c r="T54" s="102"/>
      <c r="U54" s="102"/>
      <c r="V54" s="102"/>
    </row>
    <row r="55" spans="1:69" s="184" customFormat="1" ht="33.75" x14ac:dyDescent="0.15">
      <c r="A55" s="284">
        <v>13</v>
      </c>
      <c r="B55" s="182"/>
      <c r="C55" s="179" t="s">
        <v>548</v>
      </c>
      <c r="D55" s="180" t="s">
        <v>43</v>
      </c>
      <c r="E55" s="183">
        <v>12.44</v>
      </c>
      <c r="F55" s="26"/>
      <c r="G55" s="61"/>
      <c r="H55" s="26"/>
      <c r="I55" s="27"/>
      <c r="J55" s="27"/>
      <c r="K55" s="25"/>
      <c r="L55" s="25"/>
      <c r="M55" s="26"/>
      <c r="N55" s="27"/>
      <c r="O55" s="28"/>
      <c r="P55" s="29"/>
      <c r="Q55" s="195"/>
      <c r="R55" s="195"/>
      <c r="S55" s="195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</row>
    <row r="56" spans="1:69" s="184" customFormat="1" ht="11.25" x14ac:dyDescent="0.15">
      <c r="A56" s="334"/>
      <c r="B56" s="176"/>
      <c r="C56" s="185" t="s">
        <v>267</v>
      </c>
      <c r="D56" s="180" t="s">
        <v>42</v>
      </c>
      <c r="E56" s="183">
        <f>ROUND(E55*0.15*1.2,2)</f>
        <v>2.2400000000000002</v>
      </c>
      <c r="F56" s="26"/>
      <c r="G56" s="61"/>
      <c r="H56" s="26"/>
      <c r="I56" s="27"/>
      <c r="J56" s="27"/>
      <c r="K56" s="25"/>
      <c r="L56" s="25"/>
      <c r="M56" s="26"/>
      <c r="N56" s="27"/>
      <c r="O56" s="28"/>
      <c r="P56" s="29"/>
      <c r="Q56" s="195"/>
      <c r="R56" s="195"/>
      <c r="S56" s="195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</row>
    <row r="57" spans="1:69" s="184" customFormat="1" ht="11.25" x14ac:dyDescent="0.15">
      <c r="A57" s="284">
        <v>14</v>
      </c>
      <c r="B57" s="182"/>
      <c r="C57" s="206" t="s">
        <v>542</v>
      </c>
      <c r="D57" s="180" t="s">
        <v>45</v>
      </c>
      <c r="E57" s="181">
        <f>SUM(E58:E59)</f>
        <v>4</v>
      </c>
      <c r="F57" s="26"/>
      <c r="G57" s="61"/>
      <c r="H57" s="26"/>
      <c r="I57" s="27"/>
      <c r="J57" s="27"/>
      <c r="K57" s="25"/>
      <c r="L57" s="25"/>
      <c r="M57" s="26"/>
      <c r="N57" s="27"/>
      <c r="O57" s="28"/>
      <c r="P57" s="29"/>
      <c r="Q57" s="195"/>
      <c r="R57" s="195"/>
      <c r="S57" s="195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</row>
    <row r="58" spans="1:69" s="184" customFormat="1" ht="22.5" x14ac:dyDescent="0.15">
      <c r="A58" s="334"/>
      <c r="B58" s="182"/>
      <c r="C58" s="185" t="s">
        <v>549</v>
      </c>
      <c r="D58" s="180" t="s">
        <v>45</v>
      </c>
      <c r="E58" s="181">
        <v>1</v>
      </c>
      <c r="F58" s="26"/>
      <c r="G58" s="61"/>
      <c r="H58" s="26"/>
      <c r="I58" s="27"/>
      <c r="J58" s="27"/>
      <c r="K58" s="25"/>
      <c r="L58" s="25"/>
      <c r="M58" s="26"/>
      <c r="N58" s="27"/>
      <c r="O58" s="28"/>
      <c r="P58" s="29"/>
      <c r="Q58" s="195"/>
      <c r="R58" s="195"/>
      <c r="S58" s="195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</row>
    <row r="59" spans="1:69" s="184" customFormat="1" ht="11.25" x14ac:dyDescent="0.15">
      <c r="A59" s="334"/>
      <c r="B59" s="182"/>
      <c r="C59" s="185" t="s">
        <v>550</v>
      </c>
      <c r="D59" s="180" t="s">
        <v>45</v>
      </c>
      <c r="E59" s="181">
        <v>3</v>
      </c>
      <c r="F59" s="26"/>
      <c r="G59" s="61"/>
      <c r="H59" s="26"/>
      <c r="I59" s="27"/>
      <c r="J59" s="27"/>
      <c r="K59" s="25"/>
      <c r="L59" s="25"/>
      <c r="M59" s="26"/>
      <c r="N59" s="27"/>
      <c r="O59" s="28"/>
      <c r="P59" s="29"/>
      <c r="Q59" s="195"/>
      <c r="R59" s="195"/>
      <c r="S59" s="195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2"/>
      <c r="BE59" s="102"/>
      <c r="BF59" s="102"/>
      <c r="BG59" s="102"/>
      <c r="BH59" s="102"/>
      <c r="BI59" s="102"/>
      <c r="BJ59" s="102"/>
      <c r="BK59" s="102"/>
      <c r="BL59" s="102"/>
      <c r="BM59" s="102"/>
      <c r="BN59" s="102"/>
      <c r="BO59" s="102"/>
      <c r="BP59" s="102"/>
      <c r="BQ59" s="102"/>
    </row>
    <row r="60" spans="1:69" s="184" customFormat="1" ht="11.25" x14ac:dyDescent="0.15">
      <c r="A60" s="334"/>
      <c r="B60" s="182"/>
      <c r="C60" s="185" t="s">
        <v>649</v>
      </c>
      <c r="D60" s="180" t="s">
        <v>48</v>
      </c>
      <c r="E60" s="181">
        <v>1</v>
      </c>
      <c r="F60" s="26"/>
      <c r="G60" s="61"/>
      <c r="H60" s="26"/>
      <c r="I60" s="27"/>
      <c r="J60" s="27"/>
      <c r="K60" s="25"/>
      <c r="L60" s="25"/>
      <c r="M60" s="26"/>
      <c r="N60" s="27"/>
      <c r="O60" s="28"/>
      <c r="P60" s="29"/>
      <c r="Q60" s="195"/>
      <c r="R60" s="195"/>
      <c r="S60" s="195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102"/>
      <c r="BG60" s="102"/>
      <c r="BH60" s="102"/>
      <c r="BI60" s="102"/>
      <c r="BJ60" s="102"/>
      <c r="BK60" s="102"/>
      <c r="BL60" s="102"/>
      <c r="BM60" s="102"/>
      <c r="BN60" s="102"/>
      <c r="BO60" s="102"/>
      <c r="BP60" s="102"/>
      <c r="BQ60" s="102"/>
    </row>
    <row r="61" spans="1:69" s="184" customFormat="1" ht="22.5" x14ac:dyDescent="0.15">
      <c r="A61" s="284">
        <v>15</v>
      </c>
      <c r="B61" s="186"/>
      <c r="C61" s="179" t="s">
        <v>535</v>
      </c>
      <c r="D61" s="180" t="s">
        <v>44</v>
      </c>
      <c r="E61" s="181">
        <v>27.33</v>
      </c>
      <c r="F61" s="26"/>
      <c r="G61" s="61"/>
      <c r="H61" s="26"/>
      <c r="I61" s="27"/>
      <c r="J61" s="27"/>
      <c r="K61" s="25"/>
      <c r="L61" s="25"/>
      <c r="M61" s="26"/>
      <c r="N61" s="27"/>
      <c r="O61" s="28"/>
      <c r="P61" s="29"/>
      <c r="Q61" s="195"/>
      <c r="R61" s="195"/>
      <c r="S61" s="195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102"/>
      <c r="AY61" s="102"/>
      <c r="AZ61" s="102"/>
      <c r="BA61" s="102"/>
      <c r="BB61" s="102"/>
      <c r="BC61" s="102"/>
      <c r="BD61" s="102"/>
      <c r="BE61" s="102"/>
      <c r="BF61" s="102"/>
      <c r="BG61" s="102"/>
      <c r="BH61" s="102"/>
      <c r="BI61" s="102"/>
      <c r="BJ61" s="102"/>
      <c r="BK61" s="102"/>
      <c r="BL61" s="102"/>
      <c r="BM61" s="102"/>
      <c r="BN61" s="102"/>
      <c r="BO61" s="102"/>
      <c r="BP61" s="102"/>
      <c r="BQ61" s="102"/>
    </row>
    <row r="62" spans="1:69" s="184" customFormat="1" ht="11.25" x14ac:dyDescent="0.15">
      <c r="A62" s="334"/>
      <c r="B62" s="176"/>
      <c r="C62" s="185" t="s">
        <v>533</v>
      </c>
      <c r="D62" s="180" t="s">
        <v>44</v>
      </c>
      <c r="E62" s="181">
        <f>ROUND(E61*1.1,2)</f>
        <v>30.06</v>
      </c>
      <c r="F62" s="26"/>
      <c r="G62" s="61"/>
      <c r="H62" s="26"/>
      <c r="I62" s="27"/>
      <c r="J62" s="27"/>
      <c r="K62" s="25"/>
      <c r="L62" s="25"/>
      <c r="M62" s="26"/>
      <c r="N62" s="27"/>
      <c r="O62" s="28"/>
      <c r="P62" s="29"/>
      <c r="Q62" s="195"/>
      <c r="R62" s="195"/>
      <c r="S62" s="195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102"/>
      <c r="BF62" s="102"/>
      <c r="BG62" s="102"/>
      <c r="BH62" s="102"/>
      <c r="BI62" s="102"/>
      <c r="BJ62" s="102"/>
      <c r="BK62" s="102"/>
      <c r="BL62" s="102"/>
      <c r="BM62" s="102"/>
      <c r="BN62" s="102"/>
      <c r="BO62" s="102"/>
      <c r="BP62" s="102"/>
      <c r="BQ62" s="102"/>
    </row>
    <row r="63" spans="1:69" s="184" customFormat="1" ht="11.25" x14ac:dyDescent="0.15">
      <c r="A63" s="284">
        <v>16</v>
      </c>
      <c r="B63" s="186"/>
      <c r="C63" s="206" t="s">
        <v>552</v>
      </c>
      <c r="D63" s="180" t="s">
        <v>44</v>
      </c>
      <c r="E63" s="211">
        <v>3.8</v>
      </c>
      <c r="F63" s="26"/>
      <c r="G63" s="61"/>
      <c r="H63" s="26"/>
      <c r="I63" s="27"/>
      <c r="J63" s="27"/>
      <c r="K63" s="25"/>
      <c r="L63" s="25"/>
      <c r="M63" s="26"/>
      <c r="N63" s="27"/>
      <c r="O63" s="28"/>
      <c r="P63" s="29"/>
      <c r="Q63" s="195"/>
      <c r="R63" s="195"/>
      <c r="S63" s="195"/>
      <c r="T63" s="90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2"/>
      <c r="BK63" s="102"/>
      <c r="BL63" s="102"/>
      <c r="BM63" s="102"/>
      <c r="BN63" s="102"/>
    </row>
    <row r="64" spans="1:69" s="184" customFormat="1" ht="11.25" x14ac:dyDescent="0.15">
      <c r="A64" s="334"/>
      <c r="B64" s="186"/>
      <c r="C64" s="185" t="s">
        <v>551</v>
      </c>
      <c r="D64" s="180" t="s">
        <v>44</v>
      </c>
      <c r="E64" s="181">
        <v>4</v>
      </c>
      <c r="F64" s="26"/>
      <c r="G64" s="61"/>
      <c r="H64" s="26"/>
      <c r="I64" s="27"/>
      <c r="J64" s="27"/>
      <c r="K64" s="25"/>
      <c r="L64" s="25"/>
      <c r="M64" s="26"/>
      <c r="N64" s="27"/>
      <c r="O64" s="28"/>
      <c r="P64" s="29"/>
      <c r="Q64" s="195"/>
      <c r="R64" s="195"/>
      <c r="S64" s="195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/>
      <c r="BF64" s="102"/>
      <c r="BG64" s="102"/>
      <c r="BH64" s="102"/>
      <c r="BI64" s="102"/>
      <c r="BJ64" s="102"/>
      <c r="BK64" s="102"/>
      <c r="BL64" s="102"/>
      <c r="BM64" s="102"/>
      <c r="BN64" s="102"/>
      <c r="BO64" s="102"/>
      <c r="BP64" s="102"/>
      <c r="BQ64" s="102"/>
    </row>
    <row r="65" spans="1:69" s="184" customFormat="1" ht="11.25" x14ac:dyDescent="0.15">
      <c r="A65" s="334"/>
      <c r="B65" s="186"/>
      <c r="C65" s="185" t="s">
        <v>553</v>
      </c>
      <c r="D65" s="180" t="s">
        <v>48</v>
      </c>
      <c r="E65" s="181">
        <v>1</v>
      </c>
      <c r="F65" s="26"/>
      <c r="G65" s="61"/>
      <c r="H65" s="26"/>
      <c r="I65" s="27"/>
      <c r="J65" s="27"/>
      <c r="K65" s="25"/>
      <c r="L65" s="25"/>
      <c r="M65" s="26"/>
      <c r="N65" s="27"/>
      <c r="O65" s="28"/>
      <c r="P65" s="29"/>
      <c r="Q65" s="195"/>
      <c r="R65" s="195"/>
      <c r="S65" s="195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02"/>
      <c r="BE65" s="102"/>
      <c r="BF65" s="102"/>
      <c r="BG65" s="102"/>
      <c r="BH65" s="102"/>
      <c r="BI65" s="102"/>
      <c r="BJ65" s="102"/>
      <c r="BK65" s="102"/>
      <c r="BL65" s="102"/>
      <c r="BM65" s="102"/>
      <c r="BN65" s="102"/>
      <c r="BO65" s="102"/>
      <c r="BP65" s="102"/>
      <c r="BQ65" s="102"/>
    </row>
    <row r="66" spans="1:69" s="184" customFormat="1" ht="22.5" x14ac:dyDescent="0.15">
      <c r="A66" s="284"/>
      <c r="B66" s="182"/>
      <c r="C66" s="206" t="s">
        <v>700</v>
      </c>
      <c r="D66" s="180" t="s">
        <v>43</v>
      </c>
      <c r="E66" s="181">
        <v>7.8</v>
      </c>
      <c r="F66" s="26"/>
      <c r="G66" s="61"/>
      <c r="H66" s="26"/>
      <c r="I66" s="27"/>
      <c r="J66" s="27"/>
      <c r="K66" s="25"/>
      <c r="L66" s="25"/>
      <c r="M66" s="26"/>
      <c r="N66" s="27"/>
      <c r="O66" s="28"/>
      <c r="P66" s="29"/>
      <c r="Q66" s="195"/>
      <c r="R66" s="195"/>
      <c r="S66" s="195"/>
      <c r="T66" s="90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/>
      <c r="BF66" s="102"/>
      <c r="BG66" s="102"/>
      <c r="BH66" s="102"/>
      <c r="BI66" s="102"/>
      <c r="BJ66" s="102"/>
      <c r="BK66" s="102"/>
      <c r="BL66" s="102"/>
      <c r="BM66" s="102"/>
      <c r="BN66" s="102"/>
    </row>
    <row r="67" spans="1:69" s="184" customFormat="1" ht="22.5" x14ac:dyDescent="0.15">
      <c r="A67" s="284"/>
      <c r="B67" s="182"/>
      <c r="C67" s="185" t="s">
        <v>248</v>
      </c>
      <c r="D67" s="180" t="s">
        <v>43</v>
      </c>
      <c r="E67" s="181">
        <f>ROUND(E66*1.15,2)</f>
        <v>8.9700000000000006</v>
      </c>
      <c r="F67" s="26"/>
      <c r="G67" s="61"/>
      <c r="H67" s="26"/>
      <c r="I67" s="27"/>
      <c r="J67" s="27"/>
      <c r="K67" s="25"/>
      <c r="L67" s="25"/>
      <c r="M67" s="26"/>
      <c r="N67" s="27"/>
      <c r="O67" s="28"/>
      <c r="P67" s="29"/>
      <c r="Q67" s="195"/>
      <c r="R67" s="195"/>
      <c r="S67" s="195"/>
      <c r="T67" s="90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/>
      <c r="BF67" s="102"/>
      <c r="BG67" s="102"/>
      <c r="BH67" s="102"/>
      <c r="BI67" s="102"/>
      <c r="BJ67" s="102"/>
      <c r="BK67" s="102"/>
      <c r="BL67" s="102"/>
      <c r="BM67" s="102"/>
      <c r="BN67" s="102"/>
    </row>
    <row r="68" spans="1:69" s="184" customFormat="1" ht="33.75" x14ac:dyDescent="0.15">
      <c r="A68" s="284"/>
      <c r="B68" s="182"/>
      <c r="C68" s="185" t="s">
        <v>254</v>
      </c>
      <c r="D68" s="180" t="s">
        <v>43</v>
      </c>
      <c r="E68" s="181">
        <f>E66</f>
        <v>7.8</v>
      </c>
      <c r="F68" s="26"/>
      <c r="G68" s="61"/>
      <c r="H68" s="26"/>
      <c r="I68" s="27"/>
      <c r="J68" s="27"/>
      <c r="K68" s="25"/>
      <c r="L68" s="25"/>
      <c r="M68" s="26"/>
      <c r="N68" s="27"/>
      <c r="O68" s="28"/>
      <c r="P68" s="29"/>
      <c r="Q68" s="195"/>
      <c r="R68" s="195"/>
      <c r="S68" s="195"/>
      <c r="T68" s="90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/>
      <c r="BF68" s="102"/>
      <c r="BG68" s="102"/>
      <c r="BH68" s="102"/>
      <c r="BI68" s="102"/>
      <c r="BJ68" s="102"/>
      <c r="BK68" s="102"/>
      <c r="BL68" s="102"/>
      <c r="BM68" s="102"/>
      <c r="BN68" s="102"/>
    </row>
    <row r="69" spans="1:69" s="184" customFormat="1" ht="22.5" x14ac:dyDescent="0.15">
      <c r="A69" s="284"/>
      <c r="B69" s="182"/>
      <c r="C69" s="179" t="s">
        <v>701</v>
      </c>
      <c r="D69" s="180" t="s">
        <v>51</v>
      </c>
      <c r="E69" s="181">
        <f>155.99*0.001</f>
        <v>0.15599000000000002</v>
      </c>
      <c r="F69" s="26"/>
      <c r="G69" s="61"/>
      <c r="H69" s="26"/>
      <c r="I69" s="27"/>
      <c r="J69" s="27"/>
      <c r="K69" s="25"/>
      <c r="L69" s="25"/>
      <c r="M69" s="26"/>
      <c r="N69" s="27"/>
      <c r="O69" s="28"/>
      <c r="P69" s="29"/>
      <c r="Q69" s="195"/>
      <c r="R69" s="195"/>
      <c r="S69" s="195"/>
      <c r="T69" s="90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  <c r="BC69" s="102"/>
      <c r="BD69" s="102"/>
      <c r="BE69" s="102"/>
      <c r="BF69" s="102"/>
      <c r="BG69" s="102"/>
      <c r="BH69" s="102"/>
      <c r="BI69" s="102"/>
      <c r="BJ69" s="102"/>
      <c r="BK69" s="102"/>
      <c r="BL69" s="102"/>
      <c r="BM69" s="102"/>
      <c r="BN69" s="102"/>
    </row>
    <row r="70" spans="1:69" s="184" customFormat="1" ht="22.5" x14ac:dyDescent="0.15">
      <c r="A70" s="284"/>
      <c r="B70" s="182"/>
      <c r="C70" s="185" t="s">
        <v>249</v>
      </c>
      <c r="D70" s="180" t="s">
        <v>51</v>
      </c>
      <c r="E70" s="183">
        <f>E69</f>
        <v>0.15599000000000002</v>
      </c>
      <c r="F70" s="26"/>
      <c r="G70" s="61"/>
      <c r="H70" s="26"/>
      <c r="I70" s="27"/>
      <c r="J70" s="27"/>
      <c r="K70" s="25"/>
      <c r="L70" s="25"/>
      <c r="M70" s="26"/>
      <c r="N70" s="27"/>
      <c r="O70" s="28"/>
      <c r="P70" s="29"/>
      <c r="Q70" s="195"/>
      <c r="R70" s="195"/>
      <c r="S70" s="195"/>
      <c r="T70" s="90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102"/>
      <c r="AY70" s="102"/>
      <c r="AZ70" s="102"/>
      <c r="BA70" s="102"/>
      <c r="BB70" s="102"/>
      <c r="BC70" s="102"/>
      <c r="BD70" s="102"/>
      <c r="BE70" s="102"/>
      <c r="BF70" s="102"/>
      <c r="BG70" s="102"/>
      <c r="BH70" s="102"/>
      <c r="BI70" s="102"/>
      <c r="BJ70" s="102"/>
      <c r="BK70" s="102"/>
      <c r="BL70" s="102"/>
      <c r="BM70" s="102"/>
      <c r="BN70" s="102"/>
    </row>
    <row r="71" spans="1:69" s="184" customFormat="1" ht="22.5" x14ac:dyDescent="0.15">
      <c r="A71" s="284"/>
      <c r="B71" s="182"/>
      <c r="C71" s="185" t="s">
        <v>250</v>
      </c>
      <c r="D71" s="180" t="s">
        <v>48</v>
      </c>
      <c r="E71" s="183">
        <v>1</v>
      </c>
      <c r="F71" s="26"/>
      <c r="G71" s="61"/>
      <c r="H71" s="26"/>
      <c r="I71" s="27"/>
      <c r="J71" s="27"/>
      <c r="K71" s="25"/>
      <c r="L71" s="25"/>
      <c r="M71" s="26"/>
      <c r="N71" s="27"/>
      <c r="O71" s="28"/>
      <c r="P71" s="29"/>
      <c r="Q71" s="195"/>
      <c r="R71" s="195"/>
      <c r="S71" s="195"/>
      <c r="T71" s="90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102"/>
      <c r="AY71" s="102"/>
      <c r="AZ71" s="102"/>
      <c r="BA71" s="102"/>
      <c r="BB71" s="102"/>
      <c r="BC71" s="102"/>
      <c r="BD71" s="102"/>
      <c r="BE71" s="102"/>
      <c r="BF71" s="102"/>
      <c r="BG71" s="102"/>
      <c r="BH71" s="102"/>
      <c r="BI71" s="102"/>
      <c r="BJ71" s="102"/>
      <c r="BK71" s="102"/>
      <c r="BL71" s="102"/>
      <c r="BM71" s="102"/>
      <c r="BN71" s="102"/>
    </row>
    <row r="72" spans="1:69" s="184" customFormat="1" ht="22.5" x14ac:dyDescent="0.15">
      <c r="A72" s="284"/>
      <c r="B72" s="182"/>
      <c r="C72" s="179" t="s">
        <v>702</v>
      </c>
      <c r="D72" s="180" t="s">
        <v>42</v>
      </c>
      <c r="E72" s="181">
        <v>0.9</v>
      </c>
      <c r="F72" s="26"/>
      <c r="G72" s="61"/>
      <c r="H72" s="26"/>
      <c r="I72" s="27"/>
      <c r="J72" s="27"/>
      <c r="K72" s="25"/>
      <c r="L72" s="25"/>
      <c r="M72" s="26"/>
      <c r="N72" s="27"/>
      <c r="O72" s="28"/>
      <c r="P72" s="29"/>
      <c r="Q72" s="195"/>
      <c r="R72" s="195"/>
      <c r="S72" s="195"/>
      <c r="T72" s="90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102"/>
      <c r="BF72" s="102"/>
      <c r="BG72" s="102"/>
      <c r="BH72" s="102"/>
      <c r="BI72" s="102"/>
      <c r="BJ72" s="102"/>
      <c r="BK72" s="102"/>
      <c r="BL72" s="102"/>
      <c r="BM72" s="102"/>
      <c r="BN72" s="102"/>
    </row>
    <row r="73" spans="1:69" s="184" customFormat="1" ht="11.25" x14ac:dyDescent="0.15">
      <c r="A73" s="284"/>
      <c r="B73" s="182"/>
      <c r="C73" s="187" t="s">
        <v>251</v>
      </c>
      <c r="D73" s="180" t="s">
        <v>42</v>
      </c>
      <c r="E73" s="181">
        <f>ROUND(E72*1.1,2)</f>
        <v>0.99</v>
      </c>
      <c r="F73" s="26"/>
      <c r="G73" s="61"/>
      <c r="H73" s="26"/>
      <c r="I73" s="27"/>
      <c r="J73" s="27"/>
      <c r="K73" s="25"/>
      <c r="L73" s="25"/>
      <c r="M73" s="26"/>
      <c r="N73" s="27"/>
      <c r="O73" s="28"/>
      <c r="P73" s="29"/>
      <c r="Q73" s="195"/>
      <c r="R73" s="195"/>
      <c r="S73" s="195"/>
      <c r="T73" s="90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102"/>
      <c r="AY73" s="102"/>
      <c r="AZ73" s="102"/>
      <c r="BA73" s="102"/>
      <c r="BB73" s="102"/>
      <c r="BC73" s="102"/>
      <c r="BD73" s="102"/>
      <c r="BE73" s="102"/>
      <c r="BF73" s="102"/>
      <c r="BG73" s="102"/>
      <c r="BH73" s="102"/>
      <c r="BI73" s="102"/>
      <c r="BJ73" s="102"/>
      <c r="BK73" s="102"/>
      <c r="BL73" s="102"/>
      <c r="BM73" s="102"/>
      <c r="BN73" s="102"/>
    </row>
    <row r="74" spans="1:69" s="184" customFormat="1" ht="11.25" x14ac:dyDescent="0.15">
      <c r="A74" s="284"/>
      <c r="B74" s="182"/>
      <c r="C74" s="185" t="s">
        <v>245</v>
      </c>
      <c r="D74" s="180" t="s">
        <v>246</v>
      </c>
      <c r="E74" s="181">
        <f>ROUND(E73/8*1,2)</f>
        <v>0.12</v>
      </c>
      <c r="F74" s="26"/>
      <c r="G74" s="61"/>
      <c r="H74" s="26"/>
      <c r="I74" s="27"/>
      <c r="J74" s="27"/>
      <c r="K74" s="25"/>
      <c r="L74" s="25"/>
      <c r="M74" s="26"/>
      <c r="N74" s="27"/>
      <c r="O74" s="28"/>
      <c r="P74" s="29"/>
      <c r="Q74" s="195"/>
      <c r="R74" s="195"/>
      <c r="S74" s="195"/>
      <c r="T74" s="90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  <c r="BC74" s="102"/>
      <c r="BD74" s="102"/>
      <c r="BE74" s="102"/>
      <c r="BF74" s="102"/>
      <c r="BG74" s="102"/>
      <c r="BH74" s="102"/>
      <c r="BI74" s="102"/>
      <c r="BJ74" s="102"/>
      <c r="BK74" s="102"/>
      <c r="BL74" s="102"/>
      <c r="BM74" s="102"/>
      <c r="BN74" s="102"/>
    </row>
    <row r="75" spans="1:69" s="184" customFormat="1" ht="11.25" x14ac:dyDescent="0.15">
      <c r="A75" s="284"/>
      <c r="B75" s="182"/>
      <c r="C75" s="185" t="s">
        <v>247</v>
      </c>
      <c r="D75" s="180" t="s">
        <v>246</v>
      </c>
      <c r="E75" s="181">
        <f>ROUND(E73/8*2,2)</f>
        <v>0.25</v>
      </c>
      <c r="F75" s="26"/>
      <c r="G75" s="61"/>
      <c r="H75" s="26"/>
      <c r="I75" s="27"/>
      <c r="J75" s="27"/>
      <c r="K75" s="25"/>
      <c r="L75" s="25"/>
      <c r="M75" s="26"/>
      <c r="N75" s="27"/>
      <c r="O75" s="28"/>
      <c r="P75" s="29"/>
      <c r="Q75" s="195"/>
      <c r="R75" s="195"/>
      <c r="S75" s="195"/>
      <c r="T75" s="90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</row>
    <row r="76" spans="1:69" s="184" customFormat="1" ht="11.25" x14ac:dyDescent="0.15">
      <c r="A76" s="284"/>
      <c r="B76" s="182"/>
      <c r="C76" s="185" t="s">
        <v>252</v>
      </c>
      <c r="D76" s="180" t="s">
        <v>48</v>
      </c>
      <c r="E76" s="183">
        <v>1</v>
      </c>
      <c r="F76" s="26"/>
      <c r="G76" s="61"/>
      <c r="H76" s="26"/>
      <c r="I76" s="27"/>
      <c r="J76" s="27"/>
      <c r="K76" s="25"/>
      <c r="L76" s="25"/>
      <c r="M76" s="26"/>
      <c r="N76" s="27"/>
      <c r="O76" s="28"/>
      <c r="P76" s="29"/>
      <c r="Q76" s="195"/>
      <c r="R76" s="195"/>
      <c r="S76" s="195"/>
      <c r="T76" s="90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  <c r="BC76" s="102"/>
      <c r="BD76" s="102"/>
      <c r="BE76" s="102"/>
      <c r="BF76" s="102"/>
      <c r="BG76" s="102"/>
      <c r="BH76" s="102"/>
      <c r="BI76" s="102"/>
      <c r="BJ76" s="102"/>
      <c r="BK76" s="102"/>
      <c r="BL76" s="102"/>
      <c r="BM76" s="102"/>
      <c r="BN76" s="102"/>
    </row>
    <row r="77" spans="1:69" s="184" customFormat="1" ht="22.5" x14ac:dyDescent="0.15">
      <c r="A77" s="284"/>
      <c r="B77" s="182"/>
      <c r="C77" s="206" t="s">
        <v>703</v>
      </c>
      <c r="D77" s="180" t="s">
        <v>45</v>
      </c>
      <c r="E77" s="181">
        <v>1</v>
      </c>
      <c r="F77" s="119"/>
      <c r="G77" s="61"/>
      <c r="H77" s="26"/>
      <c r="I77" s="27"/>
      <c r="J77" s="27"/>
      <c r="K77" s="25"/>
      <c r="L77" s="25"/>
      <c r="M77" s="26"/>
      <c r="N77" s="27"/>
      <c r="O77" s="28"/>
      <c r="P77" s="29"/>
      <c r="Q77" s="195"/>
      <c r="R77" s="195"/>
      <c r="S77" s="195"/>
      <c r="T77" s="90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02"/>
      <c r="BC77" s="102"/>
      <c r="BD77" s="102"/>
      <c r="BE77" s="102"/>
      <c r="BF77" s="102"/>
      <c r="BG77" s="102"/>
      <c r="BH77" s="102"/>
      <c r="BI77" s="102"/>
      <c r="BJ77" s="102"/>
      <c r="BK77" s="102"/>
      <c r="BL77" s="102"/>
      <c r="BM77" s="102"/>
      <c r="BN77" s="102"/>
    </row>
    <row r="78" spans="1:69" s="184" customFormat="1" ht="11.25" x14ac:dyDescent="0.15">
      <c r="A78" s="284"/>
      <c r="B78" s="182"/>
      <c r="C78" s="185" t="s">
        <v>545</v>
      </c>
      <c r="D78" s="180" t="s">
        <v>50</v>
      </c>
      <c r="E78" s="183">
        <v>100</v>
      </c>
      <c r="F78" s="119"/>
      <c r="G78" s="61"/>
      <c r="H78" s="26"/>
      <c r="I78" s="27"/>
      <c r="J78" s="27"/>
      <c r="K78" s="25"/>
      <c r="L78" s="25"/>
      <c r="M78" s="26"/>
      <c r="N78" s="27"/>
      <c r="O78" s="28"/>
      <c r="P78" s="29"/>
      <c r="Q78" s="195"/>
      <c r="R78" s="195"/>
      <c r="S78" s="195"/>
      <c r="T78" s="90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  <c r="BB78" s="102"/>
      <c r="BC78" s="102"/>
      <c r="BD78" s="102"/>
      <c r="BE78" s="102"/>
      <c r="BF78" s="102"/>
      <c r="BG78" s="102"/>
      <c r="BH78" s="102"/>
      <c r="BI78" s="102"/>
      <c r="BJ78" s="102"/>
      <c r="BK78" s="102"/>
      <c r="BL78" s="102"/>
      <c r="BM78" s="102"/>
      <c r="BN78" s="102"/>
    </row>
    <row r="79" spans="1:69" ht="22.5" x14ac:dyDescent="0.2">
      <c r="A79" s="337">
        <v>17</v>
      </c>
      <c r="B79" s="133"/>
      <c r="C79" s="206" t="s">
        <v>546</v>
      </c>
      <c r="D79" s="180" t="s">
        <v>43</v>
      </c>
      <c r="E79" s="183">
        <v>36.799999999999997</v>
      </c>
      <c r="F79" s="119"/>
      <c r="G79" s="61"/>
      <c r="H79" s="26"/>
      <c r="I79" s="27"/>
      <c r="J79" s="27"/>
      <c r="K79" s="25"/>
      <c r="L79" s="25"/>
      <c r="M79" s="26"/>
      <c r="N79" s="27"/>
      <c r="O79" s="28"/>
      <c r="P79" s="29"/>
    </row>
    <row r="80" spans="1:69" ht="33.75" x14ac:dyDescent="0.2">
      <c r="A80" s="336"/>
      <c r="B80" s="133"/>
      <c r="C80" s="185" t="s">
        <v>277</v>
      </c>
      <c r="D80" s="180" t="s">
        <v>50</v>
      </c>
      <c r="E80" s="183">
        <f>ROUND(E79*2,2)</f>
        <v>73.599999999999994</v>
      </c>
      <c r="F80" s="119"/>
      <c r="G80" s="61"/>
      <c r="H80" s="26"/>
      <c r="I80" s="27"/>
      <c r="J80" s="27"/>
      <c r="K80" s="25"/>
      <c r="L80" s="25"/>
      <c r="M80" s="26"/>
      <c r="N80" s="27"/>
      <c r="O80" s="28"/>
      <c r="P80" s="29"/>
    </row>
    <row r="81" spans="1:69" x14ac:dyDescent="0.2">
      <c r="A81" s="336"/>
      <c r="B81" s="133"/>
      <c r="C81" s="204" t="s">
        <v>276</v>
      </c>
      <c r="D81" s="178"/>
      <c r="E81" s="205"/>
      <c r="F81" s="119"/>
      <c r="G81" s="61"/>
      <c r="H81" s="26"/>
      <c r="I81" s="27"/>
      <c r="J81" s="27"/>
      <c r="K81" s="25"/>
      <c r="L81" s="25"/>
      <c r="M81" s="26"/>
      <c r="N81" s="27"/>
      <c r="O81" s="28"/>
      <c r="P81" s="29"/>
    </row>
    <row r="82" spans="1:69" x14ac:dyDescent="0.2">
      <c r="A82" s="345">
        <v>18</v>
      </c>
      <c r="B82" s="121"/>
      <c r="C82" s="310" t="s">
        <v>718</v>
      </c>
      <c r="D82" s="180" t="s">
        <v>44</v>
      </c>
      <c r="E82" s="126">
        <v>47.1</v>
      </c>
      <c r="F82" s="119"/>
      <c r="G82" s="61"/>
      <c r="H82" s="26"/>
      <c r="I82" s="27"/>
      <c r="J82" s="27"/>
      <c r="K82" s="25"/>
      <c r="L82" s="25"/>
      <c r="M82" s="26"/>
      <c r="N82" s="27"/>
      <c r="O82" s="28"/>
      <c r="P82" s="29"/>
    </row>
    <row r="83" spans="1:69" x14ac:dyDescent="0.2">
      <c r="A83" s="341"/>
      <c r="B83" s="263"/>
      <c r="C83" s="187" t="s">
        <v>719</v>
      </c>
      <c r="D83" s="180" t="s">
        <v>44</v>
      </c>
      <c r="E83" s="181">
        <f>ROUND(E82*1.1,1)</f>
        <v>51.8</v>
      </c>
      <c r="F83" s="119"/>
      <c r="G83" s="61"/>
      <c r="H83" s="26"/>
      <c r="I83" s="27"/>
      <c r="J83" s="27"/>
      <c r="K83" s="25"/>
      <c r="L83" s="25"/>
      <c r="M83" s="26"/>
      <c r="N83" s="27"/>
      <c r="O83" s="28"/>
      <c r="P83" s="29"/>
    </row>
    <row r="84" spans="1:69" ht="23.25" thickBot="1" x14ac:dyDescent="0.25">
      <c r="A84" s="381"/>
      <c r="B84" s="382"/>
      <c r="C84" s="187" t="s">
        <v>711</v>
      </c>
      <c r="D84" s="180" t="s">
        <v>44</v>
      </c>
      <c r="E84" s="181">
        <f>E82</f>
        <v>47.1</v>
      </c>
      <c r="F84" s="26"/>
      <c r="G84" s="61"/>
      <c r="H84" s="26"/>
      <c r="I84" s="27"/>
      <c r="J84" s="27"/>
      <c r="K84" s="25"/>
      <c r="L84" s="25"/>
      <c r="M84" s="26"/>
      <c r="N84" s="27"/>
      <c r="O84" s="28"/>
      <c r="P84" s="29"/>
    </row>
    <row r="85" spans="1:69" ht="15" customHeight="1" thickBo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2" t="s">
        <v>130</v>
      </c>
      <c r="L85" s="33">
        <f>ROUND(SUM(L15:L84),2)</f>
        <v>0</v>
      </c>
      <c r="M85" s="33">
        <f>ROUND(SUM(M15:M84),2)</f>
        <v>0</v>
      </c>
      <c r="N85" s="34">
        <f>ROUND(SUM(N15:N84),2)</f>
        <v>0</v>
      </c>
      <c r="O85" s="35">
        <f>ROUND(SUM(O15:O84),2)</f>
        <v>0</v>
      </c>
      <c r="P85" s="36">
        <f>ROUND(SUM(P15:P84),2)</f>
        <v>0</v>
      </c>
    </row>
    <row r="86" spans="1:69" ht="34.9" customHeight="1" x14ac:dyDescent="0.2">
      <c r="A86" s="37"/>
      <c r="B86" s="7"/>
      <c r="C86" s="38"/>
      <c r="D86" s="39"/>
      <c r="E86" s="5"/>
      <c r="F86" s="5"/>
      <c r="G86" s="5"/>
      <c r="H86" s="7"/>
      <c r="I86" s="7"/>
      <c r="J86" s="7"/>
      <c r="K86" s="7"/>
      <c r="L86" s="7"/>
      <c r="M86" s="7"/>
      <c r="N86" s="7"/>
      <c r="O86" s="7"/>
      <c r="P86" s="7"/>
    </row>
    <row r="87" spans="1:69" x14ac:dyDescent="0.2">
      <c r="A87" s="40"/>
      <c r="B87" s="41"/>
      <c r="C87" s="41" t="s">
        <v>10</v>
      </c>
      <c r="D87" s="42"/>
      <c r="E87" s="43"/>
      <c r="F87" s="44"/>
      <c r="G87" s="42"/>
      <c r="H87" s="45">
        <f>Kopsavilkums!C$43</f>
        <v>0</v>
      </c>
      <c r="I87" s="46" t="str">
        <f>Kopsavilkums!D$43</f>
        <v>datums</v>
      </c>
      <c r="J87" s="46"/>
      <c r="K87" s="41" t="s">
        <v>11</v>
      </c>
      <c r="L87" s="47"/>
      <c r="M87" s="44"/>
      <c r="N87" s="44"/>
      <c r="O87" s="45">
        <f>Kopsavilkums!C$48</f>
        <v>0</v>
      </c>
      <c r="P87" s="46" t="str">
        <f>Kopsavilkums!D$48</f>
        <v>datums</v>
      </c>
    </row>
    <row r="88" spans="1:69" x14ac:dyDescent="0.2">
      <c r="A88" s="48"/>
      <c r="B88" s="49"/>
      <c r="C88" s="50"/>
      <c r="D88" s="407" t="s">
        <v>12</v>
      </c>
      <c r="E88" s="407"/>
      <c r="F88" s="407"/>
      <c r="G88" s="407"/>
      <c r="H88" s="407"/>
      <c r="I88" s="7"/>
      <c r="J88" s="7"/>
      <c r="K88" s="7"/>
      <c r="L88" s="407" t="s">
        <v>12</v>
      </c>
      <c r="M88" s="407"/>
      <c r="N88" s="407"/>
      <c r="O88" s="407"/>
      <c r="P88" s="7"/>
    </row>
    <row r="89" spans="1:69" s="54" customFormat="1" x14ac:dyDescent="0.2">
      <c r="A89" s="37"/>
      <c r="B89" s="7"/>
      <c r="C89" s="38"/>
      <c r="D89" s="5"/>
      <c r="E89" s="5"/>
      <c r="F89" s="5"/>
      <c r="G89" s="5"/>
      <c r="H89" s="7"/>
      <c r="I89" s="7"/>
      <c r="J89" s="7"/>
      <c r="K89" s="7"/>
      <c r="L89" s="7"/>
      <c r="M89" s="7"/>
      <c r="N89" s="7"/>
      <c r="O89" s="7"/>
      <c r="P89" s="7"/>
      <c r="Q89" s="195"/>
      <c r="R89" s="195"/>
      <c r="S89" s="195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BO89" s="4"/>
      <c r="BP89" s="4"/>
      <c r="BQ89" s="4"/>
    </row>
    <row r="90" spans="1:69" s="54" customFormat="1" x14ac:dyDescent="0.2">
      <c r="A90" s="51"/>
      <c r="B90" s="46"/>
      <c r="C90" s="52"/>
      <c r="D90" s="52" t="str">
        <f>Kopsavilkums!B$46</f>
        <v>-</v>
      </c>
      <c r="E90" s="5"/>
      <c r="F90" s="5"/>
      <c r="G90" s="5"/>
      <c r="H90" s="7"/>
      <c r="I90" s="7"/>
      <c r="J90" s="7"/>
      <c r="K90" s="7"/>
      <c r="L90" s="52" t="str">
        <f>Kopsavilkums!B$51</f>
        <v>Sert.Nr.</v>
      </c>
      <c r="M90" s="53"/>
      <c r="N90" s="7"/>
      <c r="O90" s="7"/>
      <c r="P90" s="7"/>
      <c r="Q90" s="195"/>
      <c r="R90" s="195"/>
      <c r="S90" s="195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BO90" s="4"/>
      <c r="BP90" s="4"/>
      <c r="BQ90" s="4"/>
    </row>
    <row r="91" spans="1:69" s="54" customFormat="1" x14ac:dyDescent="0.25">
      <c r="Q91" s="195"/>
      <c r="R91" s="195"/>
      <c r="S91" s="195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</row>
    <row r="92" spans="1:69" s="54" customFormat="1" x14ac:dyDescent="0.25">
      <c r="Q92" s="195"/>
      <c r="R92" s="195"/>
      <c r="S92" s="195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</row>
    <row r="93" spans="1:69" s="54" customFormat="1" x14ac:dyDescent="0.25">
      <c r="Q93" s="195"/>
      <c r="R93" s="195"/>
      <c r="S93" s="195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</row>
    <row r="94" spans="1:69" s="54" customFormat="1" x14ac:dyDescent="0.25">
      <c r="Q94" s="195"/>
      <c r="R94" s="195"/>
      <c r="S94" s="195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</row>
    <row r="95" spans="1:69" s="54" customFormat="1" x14ac:dyDescent="0.25">
      <c r="Q95" s="195"/>
      <c r="R95" s="195"/>
      <c r="S95" s="195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</row>
    <row r="96" spans="1:69" s="54" customFormat="1" x14ac:dyDescent="0.25">
      <c r="Q96" s="195"/>
      <c r="R96" s="195"/>
      <c r="S96" s="195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</row>
    <row r="97" spans="17:45" s="54" customFormat="1" x14ac:dyDescent="0.25">
      <c r="Q97" s="195"/>
      <c r="R97" s="195"/>
      <c r="S97" s="195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</row>
    <row r="98" spans="17:45" s="54" customFormat="1" x14ac:dyDescent="0.25">
      <c r="Q98" s="195"/>
      <c r="R98" s="195"/>
      <c r="S98" s="195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</row>
    <row r="99" spans="17:45" s="54" customFormat="1" x14ac:dyDescent="0.25">
      <c r="Q99" s="195"/>
      <c r="R99" s="195"/>
      <c r="S99" s="195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</row>
    <row r="100" spans="17:45" s="54" customFormat="1" x14ac:dyDescent="0.25">
      <c r="Q100" s="195"/>
      <c r="R100" s="195"/>
      <c r="S100" s="195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</row>
    <row r="101" spans="17:45" s="54" customFormat="1" x14ac:dyDescent="0.25">
      <c r="Q101" s="195"/>
      <c r="R101" s="195"/>
      <c r="S101" s="195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</row>
    <row r="102" spans="17:45" s="54" customFormat="1" x14ac:dyDescent="0.25">
      <c r="Q102" s="195"/>
      <c r="R102" s="195"/>
      <c r="S102" s="195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</row>
    <row r="103" spans="17:45" s="54" customFormat="1" x14ac:dyDescent="0.25">
      <c r="Q103" s="195"/>
      <c r="R103" s="195"/>
      <c r="S103" s="195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</row>
    <row r="104" spans="17:45" s="54" customFormat="1" x14ac:dyDescent="0.25">
      <c r="Q104" s="195"/>
      <c r="R104" s="195"/>
      <c r="S104" s="195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</row>
    <row r="105" spans="17:45" s="54" customFormat="1" x14ac:dyDescent="0.25">
      <c r="Q105" s="195"/>
      <c r="R105" s="195"/>
      <c r="S105" s="195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</row>
    <row r="106" spans="17:45" s="54" customFormat="1" x14ac:dyDescent="0.25">
      <c r="Q106" s="195"/>
      <c r="R106" s="195"/>
      <c r="S106" s="195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</row>
    <row r="107" spans="17:45" s="54" customFormat="1" x14ac:dyDescent="0.25">
      <c r="Q107" s="195"/>
      <c r="R107" s="195"/>
      <c r="S107" s="195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</row>
    <row r="108" spans="17:45" s="54" customFormat="1" x14ac:dyDescent="0.25">
      <c r="Q108" s="195"/>
      <c r="R108" s="195"/>
      <c r="S108" s="195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</row>
    <row r="109" spans="17:45" s="54" customFormat="1" x14ac:dyDescent="0.25">
      <c r="Q109" s="195"/>
      <c r="R109" s="195"/>
      <c r="S109" s="195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</row>
    <row r="110" spans="17:45" s="54" customFormat="1" x14ac:dyDescent="0.25">
      <c r="Q110" s="195"/>
      <c r="R110" s="195"/>
      <c r="S110" s="195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</row>
    <row r="111" spans="17:45" s="54" customFormat="1" x14ac:dyDescent="0.25">
      <c r="Q111" s="195"/>
      <c r="R111" s="195"/>
      <c r="S111" s="195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</row>
    <row r="112" spans="17:45" s="54" customFormat="1" x14ac:dyDescent="0.25">
      <c r="Q112" s="195"/>
      <c r="R112" s="195"/>
      <c r="S112" s="195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</row>
    <row r="113" spans="17:45" s="54" customFormat="1" x14ac:dyDescent="0.25">
      <c r="Q113" s="195"/>
      <c r="R113" s="195"/>
      <c r="S113" s="195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</row>
    <row r="114" spans="17:45" s="54" customFormat="1" x14ac:dyDescent="0.25">
      <c r="Q114" s="195"/>
      <c r="R114" s="195"/>
      <c r="S114" s="195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</row>
    <row r="115" spans="17:45" s="54" customFormat="1" x14ac:dyDescent="0.25">
      <c r="Q115" s="195"/>
      <c r="R115" s="195"/>
      <c r="S115" s="195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</row>
    <row r="116" spans="17:45" s="54" customFormat="1" x14ac:dyDescent="0.25">
      <c r="Q116" s="195"/>
      <c r="R116" s="195"/>
      <c r="S116" s="195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</row>
    <row r="117" spans="17:45" s="54" customFormat="1" x14ac:dyDescent="0.25">
      <c r="Q117" s="195"/>
      <c r="R117" s="195"/>
      <c r="S117" s="195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</row>
    <row r="118" spans="17:45" s="54" customFormat="1" x14ac:dyDescent="0.25">
      <c r="Q118" s="195"/>
      <c r="R118" s="195"/>
      <c r="S118" s="195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</row>
    <row r="119" spans="17:45" s="54" customFormat="1" x14ac:dyDescent="0.25">
      <c r="Q119" s="195"/>
      <c r="R119" s="195"/>
      <c r="S119" s="195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</row>
    <row r="120" spans="17:45" s="54" customFormat="1" x14ac:dyDescent="0.25">
      <c r="Q120" s="195"/>
      <c r="R120" s="195"/>
      <c r="S120" s="195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</row>
    <row r="121" spans="17:45" s="54" customFormat="1" x14ac:dyDescent="0.25">
      <c r="Q121" s="195"/>
      <c r="R121" s="195"/>
      <c r="S121" s="195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</row>
    <row r="122" spans="17:45" s="54" customFormat="1" x14ac:dyDescent="0.25">
      <c r="Q122" s="195"/>
      <c r="R122" s="195"/>
      <c r="S122" s="195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</row>
    <row r="123" spans="17:45" s="54" customFormat="1" x14ac:dyDescent="0.25">
      <c r="Q123" s="195"/>
      <c r="R123" s="195"/>
      <c r="S123" s="195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</row>
    <row r="124" spans="17:45" s="54" customFormat="1" x14ac:dyDescent="0.25">
      <c r="Q124" s="195"/>
      <c r="R124" s="195"/>
      <c r="S124" s="195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</row>
    <row r="125" spans="17:45" s="54" customFormat="1" x14ac:dyDescent="0.25">
      <c r="Q125" s="195"/>
      <c r="R125" s="195"/>
      <c r="S125" s="195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</row>
    <row r="126" spans="17:45" s="54" customFormat="1" x14ac:dyDescent="0.25">
      <c r="Q126" s="195"/>
      <c r="R126" s="195"/>
      <c r="S126" s="195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</row>
    <row r="127" spans="17:45" s="54" customFormat="1" x14ac:dyDescent="0.25">
      <c r="Q127" s="195"/>
      <c r="R127" s="195"/>
      <c r="S127" s="195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</row>
    <row r="128" spans="17:45" s="54" customFormat="1" x14ac:dyDescent="0.25">
      <c r="Q128" s="195"/>
      <c r="R128" s="195"/>
      <c r="S128" s="195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</row>
    <row r="129" spans="17:45" s="54" customFormat="1" x14ac:dyDescent="0.25">
      <c r="Q129" s="195"/>
      <c r="R129" s="195"/>
      <c r="S129" s="195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</row>
    <row r="130" spans="17:45" s="54" customFormat="1" x14ac:dyDescent="0.25">
      <c r="Q130" s="195"/>
      <c r="R130" s="195"/>
      <c r="S130" s="195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</row>
    <row r="131" spans="17:45" s="54" customFormat="1" x14ac:dyDescent="0.25">
      <c r="Q131" s="195"/>
      <c r="R131" s="195"/>
      <c r="S131" s="195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</row>
    <row r="132" spans="17:45" s="54" customFormat="1" x14ac:dyDescent="0.25">
      <c r="Q132" s="195"/>
      <c r="R132" s="195"/>
      <c r="S132" s="195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</row>
    <row r="133" spans="17:45" s="54" customFormat="1" x14ac:dyDescent="0.25">
      <c r="Q133" s="195"/>
      <c r="R133" s="195"/>
      <c r="S133" s="195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</row>
    <row r="134" spans="17:45" s="54" customFormat="1" x14ac:dyDescent="0.25">
      <c r="Q134" s="195"/>
      <c r="R134" s="195"/>
      <c r="S134" s="195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</row>
    <row r="135" spans="17:45" s="54" customFormat="1" x14ac:dyDescent="0.25">
      <c r="Q135" s="195"/>
      <c r="R135" s="195"/>
      <c r="S135" s="195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</row>
    <row r="136" spans="17:45" s="54" customFormat="1" x14ac:dyDescent="0.25">
      <c r="Q136" s="195"/>
      <c r="R136" s="195"/>
      <c r="S136" s="195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</row>
    <row r="137" spans="17:45" s="54" customFormat="1" x14ac:dyDescent="0.25">
      <c r="Q137" s="195"/>
      <c r="R137" s="195"/>
      <c r="S137" s="195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</row>
    <row r="138" spans="17:45" s="54" customFormat="1" x14ac:dyDescent="0.25">
      <c r="Q138" s="195"/>
      <c r="R138" s="195"/>
      <c r="S138" s="195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</row>
    <row r="139" spans="17:45" s="54" customFormat="1" x14ac:dyDescent="0.25">
      <c r="Q139" s="195"/>
      <c r="R139" s="195"/>
      <c r="S139" s="195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</row>
    <row r="140" spans="17:45" s="54" customFormat="1" x14ac:dyDescent="0.25">
      <c r="Q140" s="195"/>
      <c r="R140" s="195"/>
      <c r="S140" s="195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</row>
    <row r="141" spans="17:45" s="54" customFormat="1" x14ac:dyDescent="0.25">
      <c r="Q141" s="195"/>
      <c r="R141" s="195"/>
      <c r="S141" s="195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</row>
    <row r="142" spans="17:45" s="54" customFormat="1" x14ac:dyDescent="0.25">
      <c r="Q142" s="195"/>
      <c r="R142" s="195"/>
      <c r="S142" s="195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</row>
    <row r="143" spans="17:45" s="54" customFormat="1" x14ac:dyDescent="0.25">
      <c r="Q143" s="195"/>
      <c r="R143" s="195"/>
      <c r="S143" s="195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</row>
    <row r="144" spans="17:45" s="54" customFormat="1" x14ac:dyDescent="0.25">
      <c r="Q144" s="195"/>
      <c r="R144" s="195"/>
      <c r="S144" s="195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</row>
    <row r="145" spans="17:45" s="54" customFormat="1" x14ac:dyDescent="0.25">
      <c r="Q145" s="195"/>
      <c r="R145" s="195"/>
      <c r="S145" s="195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</row>
    <row r="146" spans="17:45" s="54" customFormat="1" x14ac:dyDescent="0.25">
      <c r="Q146" s="195"/>
      <c r="R146" s="195"/>
      <c r="S146" s="195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</row>
    <row r="147" spans="17:45" s="54" customFormat="1" x14ac:dyDescent="0.25">
      <c r="Q147" s="195"/>
      <c r="R147" s="195"/>
      <c r="S147" s="195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</row>
    <row r="148" spans="17:45" s="54" customFormat="1" x14ac:dyDescent="0.25">
      <c r="Q148" s="195"/>
      <c r="R148" s="195"/>
      <c r="S148" s="195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</row>
    <row r="149" spans="17:45" s="54" customFormat="1" x14ac:dyDescent="0.25">
      <c r="Q149" s="195"/>
      <c r="R149" s="195"/>
      <c r="S149" s="195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</row>
    <row r="150" spans="17:45" s="54" customFormat="1" x14ac:dyDescent="0.25">
      <c r="Q150" s="195"/>
      <c r="R150" s="195"/>
      <c r="S150" s="195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</row>
    <row r="151" spans="17:45" s="54" customFormat="1" x14ac:dyDescent="0.25">
      <c r="Q151" s="195"/>
      <c r="R151" s="195"/>
      <c r="S151" s="195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</row>
    <row r="152" spans="17:45" s="54" customFormat="1" x14ac:dyDescent="0.25">
      <c r="Q152" s="195"/>
      <c r="R152" s="195"/>
      <c r="S152" s="195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</row>
    <row r="153" spans="17:45" s="54" customFormat="1" x14ac:dyDescent="0.25">
      <c r="Q153" s="195"/>
      <c r="R153" s="195"/>
      <c r="S153" s="195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</row>
    <row r="154" spans="17:45" s="54" customFormat="1" x14ac:dyDescent="0.25">
      <c r="Q154" s="195"/>
      <c r="R154" s="195"/>
      <c r="S154" s="195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</row>
    <row r="155" spans="17:45" s="54" customFormat="1" x14ac:dyDescent="0.25">
      <c r="Q155" s="195"/>
      <c r="R155" s="195"/>
      <c r="S155" s="195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</row>
    <row r="156" spans="17:45" s="54" customFormat="1" x14ac:dyDescent="0.25">
      <c r="Q156" s="195"/>
      <c r="R156" s="195"/>
      <c r="S156" s="195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</row>
    <row r="157" spans="17:45" s="54" customFormat="1" x14ac:dyDescent="0.25">
      <c r="Q157" s="195"/>
      <c r="R157" s="195"/>
      <c r="S157" s="195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</row>
    <row r="158" spans="17:45" s="54" customFormat="1" x14ac:dyDescent="0.25">
      <c r="Q158" s="195"/>
      <c r="R158" s="195"/>
      <c r="S158" s="195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</row>
    <row r="159" spans="17:45" s="54" customFormat="1" x14ac:dyDescent="0.25">
      <c r="Q159" s="195"/>
      <c r="R159" s="195"/>
      <c r="S159" s="195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</row>
    <row r="160" spans="17:45" s="54" customFormat="1" x14ac:dyDescent="0.25">
      <c r="Q160" s="195"/>
      <c r="R160" s="195"/>
      <c r="S160" s="195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</row>
    <row r="161" spans="17:45" s="54" customFormat="1" x14ac:dyDescent="0.25">
      <c r="Q161" s="195"/>
      <c r="R161" s="195"/>
      <c r="S161" s="195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</row>
    <row r="162" spans="17:45" s="54" customFormat="1" x14ac:dyDescent="0.25">
      <c r="Q162" s="195"/>
      <c r="R162" s="195"/>
      <c r="S162" s="195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</row>
    <row r="163" spans="17:45" s="54" customFormat="1" x14ac:dyDescent="0.25">
      <c r="Q163" s="195"/>
      <c r="R163" s="195"/>
      <c r="S163" s="195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</row>
    <row r="164" spans="17:45" s="54" customFormat="1" x14ac:dyDescent="0.25">
      <c r="Q164" s="195"/>
      <c r="R164" s="195"/>
      <c r="S164" s="195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</row>
    <row r="165" spans="17:45" s="54" customFormat="1" x14ac:dyDescent="0.25">
      <c r="Q165" s="195"/>
      <c r="R165" s="195"/>
      <c r="S165" s="195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</row>
    <row r="166" spans="17:45" s="54" customFormat="1" x14ac:dyDescent="0.25">
      <c r="Q166" s="195"/>
      <c r="R166" s="195"/>
      <c r="S166" s="195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</row>
    <row r="167" spans="17:45" s="54" customFormat="1" x14ac:dyDescent="0.25">
      <c r="Q167" s="195"/>
      <c r="R167" s="195"/>
      <c r="S167" s="195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</row>
    <row r="168" spans="17:45" s="54" customFormat="1" x14ac:dyDescent="0.25">
      <c r="Q168" s="195"/>
      <c r="R168" s="195"/>
      <c r="S168" s="195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</row>
    <row r="169" spans="17:45" s="54" customFormat="1" x14ac:dyDescent="0.25">
      <c r="Q169" s="195"/>
      <c r="R169" s="195"/>
      <c r="S169" s="195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</row>
    <row r="170" spans="17:45" s="54" customFormat="1" x14ac:dyDescent="0.25">
      <c r="Q170" s="195"/>
      <c r="R170" s="195"/>
      <c r="S170" s="195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</row>
    <row r="171" spans="17:45" s="54" customFormat="1" x14ac:dyDescent="0.25">
      <c r="Q171" s="195"/>
      <c r="R171" s="195"/>
      <c r="S171" s="195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</row>
    <row r="172" spans="17:45" s="54" customFormat="1" x14ac:dyDescent="0.25">
      <c r="Q172" s="195"/>
      <c r="R172" s="195"/>
      <c r="S172" s="195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</row>
    <row r="173" spans="17:45" s="54" customFormat="1" x14ac:dyDescent="0.25">
      <c r="Q173" s="195"/>
      <c r="R173" s="195"/>
      <c r="S173" s="195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</row>
    <row r="174" spans="17:45" s="54" customFormat="1" x14ac:dyDescent="0.25">
      <c r="Q174" s="195"/>
      <c r="R174" s="195"/>
      <c r="S174" s="195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</row>
    <row r="175" spans="17:45" s="54" customFormat="1" x14ac:dyDescent="0.25">
      <c r="Q175" s="195"/>
      <c r="R175" s="195"/>
      <c r="S175" s="195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</row>
    <row r="176" spans="17:45" s="54" customFormat="1" x14ac:dyDescent="0.25">
      <c r="Q176" s="195"/>
      <c r="R176" s="195"/>
      <c r="S176" s="195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</row>
    <row r="177" spans="17:45" s="54" customFormat="1" x14ac:dyDescent="0.25">
      <c r="Q177" s="195"/>
      <c r="R177" s="195"/>
      <c r="S177" s="195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</row>
    <row r="178" spans="17:45" s="54" customFormat="1" x14ac:dyDescent="0.25">
      <c r="Q178" s="195"/>
      <c r="R178" s="195"/>
      <c r="S178" s="195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</row>
    <row r="179" spans="17:45" s="54" customFormat="1" x14ac:dyDescent="0.25">
      <c r="Q179" s="195"/>
      <c r="R179" s="195"/>
      <c r="S179" s="195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</row>
    <row r="180" spans="17:45" s="54" customFormat="1" x14ac:dyDescent="0.25">
      <c r="Q180" s="195"/>
      <c r="R180" s="195"/>
      <c r="S180" s="195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</row>
    <row r="181" spans="17:45" s="54" customFormat="1" x14ac:dyDescent="0.25">
      <c r="Q181" s="195"/>
      <c r="R181" s="195"/>
      <c r="S181" s="195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</row>
    <row r="182" spans="17:45" s="54" customFormat="1" x14ac:dyDescent="0.25">
      <c r="Q182" s="195"/>
      <c r="R182" s="195"/>
      <c r="S182" s="195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</row>
    <row r="183" spans="17:45" s="54" customFormat="1" x14ac:dyDescent="0.25">
      <c r="Q183" s="195"/>
      <c r="R183" s="195"/>
      <c r="S183" s="195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</row>
    <row r="184" spans="17:45" s="54" customFormat="1" x14ac:dyDescent="0.25">
      <c r="Q184" s="195"/>
      <c r="R184" s="195"/>
      <c r="S184" s="195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</row>
    <row r="185" spans="17:45" s="54" customFormat="1" x14ac:dyDescent="0.25">
      <c r="Q185" s="195"/>
      <c r="R185" s="195"/>
      <c r="S185" s="195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</row>
    <row r="186" spans="17:45" s="54" customFormat="1" x14ac:dyDescent="0.25">
      <c r="Q186" s="195"/>
      <c r="R186" s="195"/>
      <c r="S186" s="195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</row>
    <row r="187" spans="17:45" s="54" customFormat="1" x14ac:dyDescent="0.25">
      <c r="Q187" s="195"/>
      <c r="R187" s="195"/>
      <c r="S187" s="195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</row>
    <row r="188" spans="17:45" s="54" customFormat="1" x14ac:dyDescent="0.25">
      <c r="Q188" s="195"/>
      <c r="R188" s="195"/>
      <c r="S188" s="195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</row>
    <row r="189" spans="17:45" s="54" customFormat="1" x14ac:dyDescent="0.25">
      <c r="Q189" s="195"/>
      <c r="R189" s="195"/>
      <c r="S189" s="195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</row>
    <row r="190" spans="17:45" s="54" customFormat="1" x14ac:dyDescent="0.25">
      <c r="Q190" s="195"/>
      <c r="R190" s="195"/>
      <c r="S190" s="195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</row>
    <row r="191" spans="17:45" s="54" customFormat="1" x14ac:dyDescent="0.25">
      <c r="Q191" s="195"/>
      <c r="R191" s="195"/>
      <c r="S191" s="195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</row>
    <row r="192" spans="17:45" s="54" customFormat="1" x14ac:dyDescent="0.25">
      <c r="Q192" s="195"/>
      <c r="R192" s="195"/>
      <c r="S192" s="195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</row>
    <row r="193" spans="17:45" s="54" customFormat="1" x14ac:dyDescent="0.25">
      <c r="Q193" s="195"/>
      <c r="R193" s="195"/>
      <c r="S193" s="195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</row>
    <row r="194" spans="17:45" s="54" customFormat="1" x14ac:dyDescent="0.25">
      <c r="Q194" s="195"/>
      <c r="R194" s="195"/>
      <c r="S194" s="195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</row>
    <row r="195" spans="17:45" s="54" customFormat="1" x14ac:dyDescent="0.25">
      <c r="Q195" s="195"/>
      <c r="R195" s="195"/>
      <c r="S195" s="195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</row>
    <row r="196" spans="17:45" s="54" customFormat="1" x14ac:dyDescent="0.25">
      <c r="Q196" s="195"/>
      <c r="R196" s="195"/>
      <c r="S196" s="195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</row>
    <row r="197" spans="17:45" s="54" customFormat="1" x14ac:dyDescent="0.25">
      <c r="Q197" s="195"/>
      <c r="R197" s="195"/>
      <c r="S197" s="195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</row>
    <row r="198" spans="17:45" s="54" customFormat="1" x14ac:dyDescent="0.25">
      <c r="Q198" s="195"/>
      <c r="R198" s="195"/>
      <c r="S198" s="195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</row>
    <row r="199" spans="17:45" s="54" customFormat="1" x14ac:dyDescent="0.25">
      <c r="Q199" s="195"/>
      <c r="R199" s="195"/>
      <c r="S199" s="195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</row>
    <row r="200" spans="17:45" s="54" customFormat="1" x14ac:dyDescent="0.25">
      <c r="Q200" s="195"/>
      <c r="R200" s="195"/>
      <c r="S200" s="195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</row>
    <row r="201" spans="17:45" s="54" customFormat="1" x14ac:dyDescent="0.25">
      <c r="Q201" s="195"/>
      <c r="R201" s="195"/>
      <c r="S201" s="195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</row>
    <row r="202" spans="17:45" s="54" customFormat="1" x14ac:dyDescent="0.25">
      <c r="Q202" s="195"/>
      <c r="R202" s="195"/>
      <c r="S202" s="195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</row>
    <row r="203" spans="17:45" s="54" customFormat="1" x14ac:dyDescent="0.25">
      <c r="Q203" s="195"/>
      <c r="R203" s="195"/>
      <c r="S203" s="195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</row>
    <row r="204" spans="17:45" s="54" customFormat="1" x14ac:dyDescent="0.25">
      <c r="Q204" s="195"/>
      <c r="R204" s="195"/>
      <c r="S204" s="195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</row>
    <row r="205" spans="17:45" s="54" customFormat="1" x14ac:dyDescent="0.25">
      <c r="Q205" s="195"/>
      <c r="R205" s="195"/>
      <c r="S205" s="195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</row>
    <row r="206" spans="17:45" s="54" customFormat="1" x14ac:dyDescent="0.25">
      <c r="Q206" s="195"/>
      <c r="R206" s="195"/>
      <c r="S206" s="195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</row>
    <row r="207" spans="17:45" s="54" customFormat="1" x14ac:dyDescent="0.25">
      <c r="Q207" s="195"/>
      <c r="R207" s="195"/>
      <c r="S207" s="195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</row>
    <row r="208" spans="17:45" s="54" customFormat="1" x14ac:dyDescent="0.25">
      <c r="Q208" s="195"/>
      <c r="R208" s="195"/>
      <c r="S208" s="195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</row>
    <row r="209" spans="17:45" s="54" customFormat="1" x14ac:dyDescent="0.25">
      <c r="Q209" s="195"/>
      <c r="R209" s="195"/>
      <c r="S209" s="195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</row>
    <row r="210" spans="17:45" s="54" customFormat="1" x14ac:dyDescent="0.25">
      <c r="Q210" s="195"/>
      <c r="R210" s="195"/>
      <c r="S210" s="195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</row>
    <row r="211" spans="17:45" s="54" customFormat="1" x14ac:dyDescent="0.25">
      <c r="Q211" s="195"/>
      <c r="R211" s="195"/>
      <c r="S211" s="195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</row>
    <row r="212" spans="17:45" s="54" customFormat="1" x14ac:dyDescent="0.25">
      <c r="Q212" s="195"/>
      <c r="R212" s="195"/>
      <c r="S212" s="195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</row>
    <row r="213" spans="17:45" s="54" customFormat="1" x14ac:dyDescent="0.25">
      <c r="Q213" s="195"/>
      <c r="R213" s="195"/>
      <c r="S213" s="195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</row>
    <row r="214" spans="17:45" s="54" customFormat="1" x14ac:dyDescent="0.25">
      <c r="Q214" s="195"/>
      <c r="R214" s="195"/>
      <c r="S214" s="195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</row>
    <row r="215" spans="17:45" s="54" customFormat="1" x14ac:dyDescent="0.25">
      <c r="Q215" s="195"/>
      <c r="R215" s="195"/>
      <c r="S215" s="195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</row>
    <row r="216" spans="17:45" s="54" customFormat="1" x14ac:dyDescent="0.25">
      <c r="Q216" s="195"/>
      <c r="R216" s="195"/>
      <c r="S216" s="195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</row>
    <row r="217" spans="17:45" s="54" customFormat="1" x14ac:dyDescent="0.25">
      <c r="Q217" s="195"/>
      <c r="R217" s="195"/>
      <c r="S217" s="195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</row>
    <row r="218" spans="17:45" s="54" customFormat="1" x14ac:dyDescent="0.25">
      <c r="Q218" s="195"/>
      <c r="R218" s="195"/>
      <c r="S218" s="195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</row>
    <row r="219" spans="17:45" s="54" customFormat="1" x14ac:dyDescent="0.25">
      <c r="Q219" s="195"/>
      <c r="R219" s="195"/>
      <c r="S219" s="195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</row>
    <row r="220" spans="17:45" s="54" customFormat="1" x14ac:dyDescent="0.25">
      <c r="Q220" s="195"/>
      <c r="R220" s="195"/>
      <c r="S220" s="195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</row>
    <row r="221" spans="17:45" s="54" customFormat="1" x14ac:dyDescent="0.25">
      <c r="Q221" s="195"/>
      <c r="R221" s="195"/>
      <c r="S221" s="195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</row>
    <row r="222" spans="17:45" s="54" customFormat="1" x14ac:dyDescent="0.25">
      <c r="Q222" s="195"/>
      <c r="R222" s="195"/>
      <c r="S222" s="195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</row>
    <row r="223" spans="17:45" s="54" customFormat="1" x14ac:dyDescent="0.25">
      <c r="Q223" s="195"/>
      <c r="R223" s="195"/>
      <c r="S223" s="195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</row>
    <row r="224" spans="17:45" s="54" customFormat="1" x14ac:dyDescent="0.25">
      <c r="Q224" s="195"/>
      <c r="R224" s="195"/>
      <c r="S224" s="195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</row>
    <row r="225" spans="17:45" s="54" customFormat="1" x14ac:dyDescent="0.25">
      <c r="Q225" s="195"/>
      <c r="R225" s="195"/>
      <c r="S225" s="195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</row>
    <row r="226" spans="17:45" s="54" customFormat="1" x14ac:dyDescent="0.25">
      <c r="Q226" s="195"/>
      <c r="R226" s="195"/>
      <c r="S226" s="195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</row>
    <row r="227" spans="17:45" s="54" customFormat="1" x14ac:dyDescent="0.25">
      <c r="Q227" s="195"/>
      <c r="R227" s="195"/>
      <c r="S227" s="195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</row>
    <row r="228" spans="17:45" s="54" customFormat="1" x14ac:dyDescent="0.25">
      <c r="Q228" s="195"/>
      <c r="R228" s="195"/>
      <c r="S228" s="195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</row>
    <row r="229" spans="17:45" s="54" customFormat="1" x14ac:dyDescent="0.25">
      <c r="Q229" s="195"/>
      <c r="R229" s="195"/>
      <c r="S229" s="195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</row>
    <row r="230" spans="17:45" s="54" customFormat="1" x14ac:dyDescent="0.25">
      <c r="Q230" s="195"/>
      <c r="R230" s="195"/>
      <c r="S230" s="195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</row>
    <row r="231" spans="17:45" s="54" customFormat="1" x14ac:dyDescent="0.25">
      <c r="Q231" s="195"/>
      <c r="R231" s="195"/>
      <c r="S231" s="195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</row>
    <row r="232" spans="17:45" s="54" customFormat="1" x14ac:dyDescent="0.25">
      <c r="Q232" s="195"/>
      <c r="R232" s="195"/>
      <c r="S232" s="195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</row>
    <row r="233" spans="17:45" s="54" customFormat="1" x14ac:dyDescent="0.25">
      <c r="Q233" s="195"/>
      <c r="R233" s="195"/>
      <c r="S233" s="195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</row>
    <row r="234" spans="17:45" s="54" customFormat="1" x14ac:dyDescent="0.25">
      <c r="Q234" s="195"/>
      <c r="R234" s="195"/>
      <c r="S234" s="195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</row>
    <row r="235" spans="17:45" s="54" customFormat="1" x14ac:dyDescent="0.25">
      <c r="Q235" s="195"/>
      <c r="R235" s="195"/>
      <c r="S235" s="195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</row>
    <row r="236" spans="17:45" s="54" customFormat="1" x14ac:dyDescent="0.25">
      <c r="Q236" s="195"/>
      <c r="R236" s="195"/>
      <c r="S236" s="195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</row>
    <row r="237" spans="17:45" s="54" customFormat="1" x14ac:dyDescent="0.25">
      <c r="Q237" s="195"/>
      <c r="R237" s="195"/>
      <c r="S237" s="195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</row>
    <row r="238" spans="17:45" s="54" customFormat="1" x14ac:dyDescent="0.25">
      <c r="Q238" s="195"/>
      <c r="R238" s="195"/>
      <c r="S238" s="195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</row>
    <row r="239" spans="17:45" s="54" customFormat="1" x14ac:dyDescent="0.25">
      <c r="Q239" s="195"/>
      <c r="R239" s="195"/>
      <c r="S239" s="195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</row>
    <row r="240" spans="17:45" s="54" customFormat="1" x14ac:dyDescent="0.25">
      <c r="Q240" s="195"/>
      <c r="R240" s="195"/>
      <c r="S240" s="195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</row>
    <row r="241" spans="17:45" s="54" customFormat="1" x14ac:dyDescent="0.25">
      <c r="Q241" s="195"/>
      <c r="R241" s="195"/>
      <c r="S241" s="195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</row>
    <row r="242" spans="17:45" s="54" customFormat="1" x14ac:dyDescent="0.25">
      <c r="Q242" s="195"/>
      <c r="R242" s="195"/>
      <c r="S242" s="195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</row>
    <row r="243" spans="17:45" s="54" customFormat="1" x14ac:dyDescent="0.25">
      <c r="Q243" s="195"/>
      <c r="R243" s="195"/>
      <c r="S243" s="195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</row>
    <row r="244" spans="17:45" s="54" customFormat="1" x14ac:dyDescent="0.25">
      <c r="Q244" s="195"/>
      <c r="R244" s="195"/>
      <c r="S244" s="195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</row>
    <row r="245" spans="17:45" s="54" customFormat="1" x14ac:dyDescent="0.25">
      <c r="Q245" s="195"/>
      <c r="R245" s="195"/>
      <c r="S245" s="195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</row>
    <row r="246" spans="17:45" s="54" customFormat="1" x14ac:dyDescent="0.25">
      <c r="Q246" s="195"/>
      <c r="R246" s="195"/>
      <c r="S246" s="195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</row>
    <row r="247" spans="17:45" s="54" customFormat="1" x14ac:dyDescent="0.25">
      <c r="Q247" s="195"/>
      <c r="R247" s="195"/>
      <c r="S247" s="195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</row>
    <row r="248" spans="17:45" s="54" customFormat="1" x14ac:dyDescent="0.25">
      <c r="Q248" s="195"/>
      <c r="R248" s="195"/>
      <c r="S248" s="195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</row>
    <row r="249" spans="17:45" s="54" customFormat="1" x14ac:dyDescent="0.25">
      <c r="Q249" s="195"/>
      <c r="R249" s="195"/>
      <c r="S249" s="195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</row>
    <row r="250" spans="17:45" s="54" customFormat="1" x14ac:dyDescent="0.25">
      <c r="Q250" s="195"/>
      <c r="R250" s="195"/>
      <c r="S250" s="195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</row>
    <row r="251" spans="17:45" s="54" customFormat="1" x14ac:dyDescent="0.25">
      <c r="Q251" s="195"/>
      <c r="R251" s="195"/>
      <c r="S251" s="195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</row>
    <row r="252" spans="17:45" s="54" customFormat="1" x14ac:dyDescent="0.25">
      <c r="Q252" s="195"/>
      <c r="R252" s="195"/>
      <c r="S252" s="195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</row>
    <row r="253" spans="17:45" s="54" customFormat="1" x14ac:dyDescent="0.25">
      <c r="Q253" s="195"/>
      <c r="R253" s="195"/>
      <c r="S253" s="195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</row>
    <row r="254" spans="17:45" s="54" customFormat="1" x14ac:dyDescent="0.25">
      <c r="Q254" s="195"/>
      <c r="R254" s="195"/>
      <c r="S254" s="195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</row>
    <row r="255" spans="17:45" s="54" customFormat="1" x14ac:dyDescent="0.25">
      <c r="Q255" s="195"/>
      <c r="R255" s="195"/>
      <c r="S255" s="195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</row>
    <row r="256" spans="17:45" s="54" customFormat="1" x14ac:dyDescent="0.25">
      <c r="Q256" s="195"/>
      <c r="R256" s="195"/>
      <c r="S256" s="195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</row>
    <row r="257" spans="17:45" s="54" customFormat="1" x14ac:dyDescent="0.25">
      <c r="Q257" s="195"/>
      <c r="R257" s="195"/>
      <c r="S257" s="195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</row>
    <row r="258" spans="17:45" s="54" customFormat="1" x14ac:dyDescent="0.25">
      <c r="Q258" s="195"/>
      <c r="R258" s="195"/>
      <c r="S258" s="195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</row>
    <row r="259" spans="17:45" s="54" customFormat="1" x14ac:dyDescent="0.25">
      <c r="Q259" s="195"/>
      <c r="R259" s="195"/>
      <c r="S259" s="195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</row>
    <row r="260" spans="17:45" s="54" customFormat="1" x14ac:dyDescent="0.25">
      <c r="Q260" s="195"/>
      <c r="R260" s="195"/>
      <c r="S260" s="195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</row>
    <row r="261" spans="17:45" s="54" customFormat="1" x14ac:dyDescent="0.25">
      <c r="Q261" s="195"/>
      <c r="R261" s="195"/>
      <c r="S261" s="195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</row>
    <row r="262" spans="17:45" s="54" customFormat="1" x14ac:dyDescent="0.25">
      <c r="Q262" s="195"/>
      <c r="R262" s="195"/>
      <c r="S262" s="195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</row>
    <row r="263" spans="17:45" s="54" customFormat="1" x14ac:dyDescent="0.25">
      <c r="Q263" s="195"/>
      <c r="R263" s="195"/>
      <c r="S263" s="195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</row>
    <row r="264" spans="17:45" s="54" customFormat="1" x14ac:dyDescent="0.25">
      <c r="Q264" s="195"/>
      <c r="R264" s="195"/>
      <c r="S264" s="195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</row>
    <row r="265" spans="17:45" s="54" customFormat="1" x14ac:dyDescent="0.25">
      <c r="Q265" s="195"/>
      <c r="R265" s="195"/>
      <c r="S265" s="195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</row>
    <row r="266" spans="17:45" s="54" customFormat="1" x14ac:dyDescent="0.25">
      <c r="Q266" s="195"/>
      <c r="R266" s="195"/>
      <c r="S266" s="195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</row>
    <row r="267" spans="17:45" s="54" customFormat="1" x14ac:dyDescent="0.25">
      <c r="Q267" s="195"/>
      <c r="R267" s="195"/>
      <c r="S267" s="195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</row>
    <row r="268" spans="17:45" s="54" customFormat="1" x14ac:dyDescent="0.25">
      <c r="Q268" s="195"/>
      <c r="R268" s="195"/>
      <c r="S268" s="195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</row>
    <row r="269" spans="17:45" s="54" customFormat="1" x14ac:dyDescent="0.25">
      <c r="Q269" s="195"/>
      <c r="R269" s="195"/>
      <c r="S269" s="195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</row>
    <row r="270" spans="17:45" s="54" customFormat="1" x14ac:dyDescent="0.25">
      <c r="Q270" s="195"/>
      <c r="R270" s="195"/>
      <c r="S270" s="195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</row>
    <row r="271" spans="17:45" s="54" customFormat="1" x14ac:dyDescent="0.25">
      <c r="Q271" s="195"/>
      <c r="R271" s="195"/>
      <c r="S271" s="195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</row>
    <row r="272" spans="17:45" s="54" customFormat="1" x14ac:dyDescent="0.25">
      <c r="Q272" s="195"/>
      <c r="R272" s="195"/>
      <c r="S272" s="195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</row>
    <row r="273" spans="17:45" s="54" customFormat="1" x14ac:dyDescent="0.25">
      <c r="Q273" s="195"/>
      <c r="R273" s="195"/>
      <c r="S273" s="195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</row>
    <row r="274" spans="17:45" s="54" customFormat="1" x14ac:dyDescent="0.25">
      <c r="Q274" s="195"/>
      <c r="R274" s="195"/>
      <c r="S274" s="195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</row>
    <row r="275" spans="17:45" s="54" customFormat="1" x14ac:dyDescent="0.25">
      <c r="Q275" s="195"/>
      <c r="R275" s="195"/>
      <c r="S275" s="195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</row>
    <row r="276" spans="17:45" s="54" customFormat="1" x14ac:dyDescent="0.25">
      <c r="Q276" s="195"/>
      <c r="R276" s="195"/>
      <c r="S276" s="195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</row>
    <row r="277" spans="17:45" s="54" customFormat="1" x14ac:dyDescent="0.25">
      <c r="Q277" s="195"/>
      <c r="R277" s="195"/>
      <c r="S277" s="195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</row>
    <row r="278" spans="17:45" s="54" customFormat="1" x14ac:dyDescent="0.25">
      <c r="Q278" s="195"/>
      <c r="R278" s="195"/>
      <c r="S278" s="195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</row>
    <row r="279" spans="17:45" s="54" customFormat="1" x14ac:dyDescent="0.25">
      <c r="Q279" s="195"/>
      <c r="R279" s="195"/>
      <c r="S279" s="195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</row>
    <row r="280" spans="17:45" s="54" customFormat="1" x14ac:dyDescent="0.25">
      <c r="Q280" s="195"/>
      <c r="R280" s="195"/>
      <c r="S280" s="195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</row>
    <row r="281" spans="17:45" s="54" customFormat="1" x14ac:dyDescent="0.25">
      <c r="Q281" s="195"/>
      <c r="R281" s="195"/>
      <c r="S281" s="195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</row>
    <row r="282" spans="17:45" s="54" customFormat="1" x14ac:dyDescent="0.25">
      <c r="Q282" s="195"/>
      <c r="R282" s="195"/>
      <c r="S282" s="195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</row>
    <row r="283" spans="17:45" s="54" customFormat="1" x14ac:dyDescent="0.25">
      <c r="Q283" s="195"/>
      <c r="R283" s="195"/>
      <c r="S283" s="195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</row>
    <row r="284" spans="17:45" s="54" customFormat="1" x14ac:dyDescent="0.25">
      <c r="Q284" s="195"/>
      <c r="R284" s="195"/>
      <c r="S284" s="195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</row>
    <row r="285" spans="17:45" s="54" customFormat="1" x14ac:dyDescent="0.25">
      <c r="Q285" s="195"/>
      <c r="R285" s="195"/>
      <c r="S285" s="195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</row>
    <row r="286" spans="17:45" s="54" customFormat="1" x14ac:dyDescent="0.25">
      <c r="Q286" s="195"/>
      <c r="R286" s="195"/>
      <c r="S286" s="195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</row>
    <row r="287" spans="17:45" s="54" customFormat="1" x14ac:dyDescent="0.25">
      <c r="Q287" s="195"/>
      <c r="R287" s="195"/>
      <c r="S287" s="195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</row>
    <row r="288" spans="17:45" s="54" customFormat="1" x14ac:dyDescent="0.25">
      <c r="Q288" s="195"/>
      <c r="R288" s="195"/>
      <c r="S288" s="195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</row>
    <row r="289" spans="17:45" s="54" customFormat="1" x14ac:dyDescent="0.25">
      <c r="Q289" s="195"/>
      <c r="R289" s="195"/>
      <c r="S289" s="195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</row>
    <row r="290" spans="17:45" s="54" customFormat="1" x14ac:dyDescent="0.25">
      <c r="Q290" s="195"/>
      <c r="R290" s="195"/>
      <c r="S290" s="195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</row>
    <row r="291" spans="17:45" s="54" customFormat="1" x14ac:dyDescent="0.25">
      <c r="Q291" s="195"/>
      <c r="R291" s="195"/>
      <c r="S291" s="195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</row>
    <row r="292" spans="17:45" s="54" customFormat="1" x14ac:dyDescent="0.25">
      <c r="Q292" s="195"/>
      <c r="R292" s="195"/>
      <c r="S292" s="195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</row>
    <row r="293" spans="17:45" s="54" customFormat="1" x14ac:dyDescent="0.25">
      <c r="Q293" s="195"/>
      <c r="R293" s="195"/>
      <c r="S293" s="195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</row>
    <row r="294" spans="17:45" s="54" customFormat="1" x14ac:dyDescent="0.25">
      <c r="Q294" s="195"/>
      <c r="R294" s="195"/>
      <c r="S294" s="195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</row>
    <row r="295" spans="17:45" s="54" customFormat="1" x14ac:dyDescent="0.25">
      <c r="Q295" s="195"/>
      <c r="R295" s="195"/>
      <c r="S295" s="195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</row>
    <row r="296" spans="17:45" s="54" customFormat="1" x14ac:dyDescent="0.25">
      <c r="Q296" s="195"/>
      <c r="R296" s="195"/>
      <c r="S296" s="195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</row>
    <row r="297" spans="17:45" s="54" customFormat="1" x14ac:dyDescent="0.25">
      <c r="Q297" s="195"/>
      <c r="R297" s="195"/>
      <c r="S297" s="195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</row>
    <row r="298" spans="17:45" s="54" customFormat="1" x14ac:dyDescent="0.25">
      <c r="Q298" s="195"/>
      <c r="R298" s="195"/>
      <c r="S298" s="195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</row>
    <row r="299" spans="17:45" s="54" customFormat="1" x14ac:dyDescent="0.25">
      <c r="Q299" s="195"/>
      <c r="R299" s="195"/>
      <c r="S299" s="195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</row>
    <row r="300" spans="17:45" s="54" customFormat="1" x14ac:dyDescent="0.25">
      <c r="Q300" s="195"/>
      <c r="R300" s="195"/>
      <c r="S300" s="195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</row>
    <row r="301" spans="17:45" s="54" customFormat="1" x14ac:dyDescent="0.25">
      <c r="Q301" s="195"/>
      <c r="R301" s="195"/>
      <c r="S301" s="195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</row>
    <row r="302" spans="17:45" s="54" customFormat="1" x14ac:dyDescent="0.25">
      <c r="Q302" s="195"/>
      <c r="R302" s="195"/>
      <c r="S302" s="195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</row>
    <row r="303" spans="17:45" s="54" customFormat="1" x14ac:dyDescent="0.25">
      <c r="Q303" s="195"/>
      <c r="R303" s="195"/>
      <c r="S303" s="195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</row>
    <row r="304" spans="17:45" s="54" customFormat="1" x14ac:dyDescent="0.25">
      <c r="Q304" s="195"/>
      <c r="R304" s="195"/>
      <c r="S304" s="195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</row>
    <row r="305" spans="17:45" s="54" customFormat="1" x14ac:dyDescent="0.25">
      <c r="Q305" s="195"/>
      <c r="R305" s="195"/>
      <c r="S305" s="195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</row>
    <row r="306" spans="17:45" s="54" customFormat="1" x14ac:dyDescent="0.25">
      <c r="Q306" s="195"/>
      <c r="R306" s="195"/>
      <c r="S306" s="195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</row>
    <row r="307" spans="17:45" s="54" customFormat="1" x14ac:dyDescent="0.25">
      <c r="Q307" s="195"/>
      <c r="R307" s="195"/>
      <c r="S307" s="195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</row>
    <row r="308" spans="17:45" s="54" customFormat="1" x14ac:dyDescent="0.25">
      <c r="Q308" s="195"/>
      <c r="R308" s="195"/>
      <c r="S308" s="195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</row>
    <row r="309" spans="17:45" s="54" customFormat="1" x14ac:dyDescent="0.25">
      <c r="Q309" s="195"/>
      <c r="R309" s="195"/>
      <c r="S309" s="195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</row>
    <row r="310" spans="17:45" s="54" customFormat="1" x14ac:dyDescent="0.25">
      <c r="Q310" s="195"/>
      <c r="R310" s="195"/>
      <c r="S310" s="195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</row>
    <row r="311" spans="17:45" s="54" customFormat="1" x14ac:dyDescent="0.25">
      <c r="Q311" s="195"/>
      <c r="R311" s="195"/>
      <c r="S311" s="195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</row>
    <row r="312" spans="17:45" s="54" customFormat="1" x14ac:dyDescent="0.25">
      <c r="Q312" s="195"/>
      <c r="R312" s="195"/>
      <c r="S312" s="195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</row>
    <row r="313" spans="17:45" s="54" customFormat="1" x14ac:dyDescent="0.25">
      <c r="Q313" s="195"/>
      <c r="R313" s="195"/>
      <c r="S313" s="195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</row>
    <row r="314" spans="17:45" s="54" customFormat="1" x14ac:dyDescent="0.25">
      <c r="Q314" s="195"/>
      <c r="R314" s="195"/>
      <c r="S314" s="195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</row>
    <row r="315" spans="17:45" s="54" customFormat="1" x14ac:dyDescent="0.25">
      <c r="Q315" s="195"/>
      <c r="R315" s="195"/>
      <c r="S315" s="195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</row>
    <row r="316" spans="17:45" s="54" customFormat="1" x14ac:dyDescent="0.25">
      <c r="Q316" s="195"/>
      <c r="R316" s="195"/>
      <c r="S316" s="195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</row>
    <row r="317" spans="17:45" s="54" customFormat="1" x14ac:dyDescent="0.25">
      <c r="Q317" s="195"/>
      <c r="R317" s="195"/>
      <c r="S317" s="195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</row>
    <row r="318" spans="17:45" s="54" customFormat="1" x14ac:dyDescent="0.25">
      <c r="Q318" s="195"/>
      <c r="R318" s="195"/>
      <c r="S318" s="195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</row>
    <row r="319" spans="17:45" s="54" customFormat="1" x14ac:dyDescent="0.25">
      <c r="Q319" s="195"/>
      <c r="R319" s="195"/>
      <c r="S319" s="195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</row>
    <row r="320" spans="17:45" s="54" customFormat="1" x14ac:dyDescent="0.25">
      <c r="Q320" s="195"/>
      <c r="R320" s="195"/>
      <c r="S320" s="195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</row>
    <row r="321" spans="17:45" s="54" customFormat="1" x14ac:dyDescent="0.25">
      <c r="Q321" s="195"/>
      <c r="R321" s="195"/>
      <c r="S321" s="195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</row>
    <row r="322" spans="17:45" s="54" customFormat="1" x14ac:dyDescent="0.25">
      <c r="Q322" s="195"/>
      <c r="R322" s="195"/>
      <c r="S322" s="195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</row>
    <row r="323" spans="17:45" s="54" customFormat="1" x14ac:dyDescent="0.25">
      <c r="Q323" s="195"/>
      <c r="R323" s="195"/>
      <c r="S323" s="195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</row>
    <row r="324" spans="17:45" s="54" customFormat="1" x14ac:dyDescent="0.25">
      <c r="Q324" s="195"/>
      <c r="R324" s="195"/>
      <c r="S324" s="195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</row>
    <row r="325" spans="17:45" s="54" customFormat="1" x14ac:dyDescent="0.25">
      <c r="Q325" s="195"/>
      <c r="R325" s="195"/>
      <c r="S325" s="195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</row>
    <row r="326" spans="17:45" s="54" customFormat="1" x14ac:dyDescent="0.25">
      <c r="Q326" s="195"/>
      <c r="R326" s="195"/>
      <c r="S326" s="195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</row>
    <row r="327" spans="17:45" s="54" customFormat="1" x14ac:dyDescent="0.25">
      <c r="Q327" s="195"/>
      <c r="R327" s="195"/>
      <c r="S327" s="195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</row>
    <row r="328" spans="17:45" s="54" customFormat="1" x14ac:dyDescent="0.25">
      <c r="Q328" s="195"/>
      <c r="R328" s="195"/>
      <c r="S328" s="195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</row>
    <row r="329" spans="17:45" s="54" customFormat="1" x14ac:dyDescent="0.25">
      <c r="Q329" s="195"/>
      <c r="R329" s="195"/>
      <c r="S329" s="195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</row>
    <row r="330" spans="17:45" s="54" customFormat="1" x14ac:dyDescent="0.25">
      <c r="Q330" s="195"/>
      <c r="R330" s="195"/>
      <c r="S330" s="195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</row>
    <row r="331" spans="17:45" s="54" customFormat="1" x14ac:dyDescent="0.25">
      <c r="Q331" s="195"/>
      <c r="R331" s="195"/>
      <c r="S331" s="195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</row>
    <row r="332" spans="17:45" s="54" customFormat="1" x14ac:dyDescent="0.25">
      <c r="Q332" s="195"/>
      <c r="R332" s="195"/>
      <c r="S332" s="195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</row>
    <row r="333" spans="17:45" s="54" customFormat="1" x14ac:dyDescent="0.25">
      <c r="Q333" s="195"/>
      <c r="R333" s="195"/>
      <c r="S333" s="195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</row>
    <row r="334" spans="17:45" s="54" customFormat="1" x14ac:dyDescent="0.25">
      <c r="Q334" s="195"/>
      <c r="R334" s="195"/>
      <c r="S334" s="195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</row>
    <row r="335" spans="17:45" s="54" customFormat="1" x14ac:dyDescent="0.25">
      <c r="Q335" s="195"/>
      <c r="R335" s="195"/>
      <c r="S335" s="195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</row>
    <row r="336" spans="17:45" s="54" customFormat="1" x14ac:dyDescent="0.25">
      <c r="Q336" s="195"/>
      <c r="R336" s="195"/>
      <c r="S336" s="195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</row>
    <row r="337" spans="17:45" s="54" customFormat="1" x14ac:dyDescent="0.25">
      <c r="Q337" s="195"/>
      <c r="R337" s="195"/>
      <c r="S337" s="195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</row>
    <row r="338" spans="17:45" s="54" customFormat="1" x14ac:dyDescent="0.25">
      <c r="Q338" s="195"/>
      <c r="R338" s="195"/>
      <c r="S338" s="195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</row>
    <row r="339" spans="17:45" s="54" customFormat="1" x14ac:dyDescent="0.25">
      <c r="Q339" s="195"/>
      <c r="R339" s="195"/>
      <c r="S339" s="195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</row>
    <row r="340" spans="17:45" s="54" customFormat="1" x14ac:dyDescent="0.25">
      <c r="Q340" s="195"/>
      <c r="R340" s="195"/>
      <c r="S340" s="195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</row>
    <row r="341" spans="17:45" s="54" customFormat="1" x14ac:dyDescent="0.25">
      <c r="Q341" s="195"/>
      <c r="R341" s="195"/>
      <c r="S341" s="195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</row>
    <row r="342" spans="17:45" s="54" customFormat="1" x14ac:dyDescent="0.25">
      <c r="Q342" s="195"/>
      <c r="R342" s="195"/>
      <c r="S342" s="195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</row>
    <row r="343" spans="17:45" s="54" customFormat="1" x14ac:dyDescent="0.25">
      <c r="Q343" s="195"/>
      <c r="R343" s="195"/>
      <c r="S343" s="195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</row>
    <row r="344" spans="17:45" s="54" customFormat="1" x14ac:dyDescent="0.25">
      <c r="Q344" s="195"/>
      <c r="R344" s="195"/>
      <c r="S344" s="195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</row>
    <row r="345" spans="17:45" s="54" customFormat="1" x14ac:dyDescent="0.25">
      <c r="Q345" s="195"/>
      <c r="R345" s="195"/>
      <c r="S345" s="195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</row>
    <row r="346" spans="17:45" s="54" customFormat="1" x14ac:dyDescent="0.25">
      <c r="Q346" s="195"/>
      <c r="R346" s="195"/>
      <c r="S346" s="195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</row>
    <row r="347" spans="17:45" s="54" customFormat="1" x14ac:dyDescent="0.25">
      <c r="Q347" s="195"/>
      <c r="R347" s="195"/>
      <c r="S347" s="195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</row>
    <row r="348" spans="17:45" s="54" customFormat="1" x14ac:dyDescent="0.25">
      <c r="Q348" s="195"/>
      <c r="R348" s="195"/>
      <c r="S348" s="195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</row>
    <row r="349" spans="17:45" s="54" customFormat="1" x14ac:dyDescent="0.25">
      <c r="Q349" s="195"/>
      <c r="R349" s="195"/>
      <c r="S349" s="195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</row>
    <row r="350" spans="17:45" s="54" customFormat="1" x14ac:dyDescent="0.25">
      <c r="Q350" s="195"/>
      <c r="R350" s="195"/>
      <c r="S350" s="195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</row>
    <row r="351" spans="17:45" s="54" customFormat="1" x14ac:dyDescent="0.25">
      <c r="Q351" s="195"/>
      <c r="R351" s="195"/>
      <c r="S351" s="195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</row>
    <row r="352" spans="17:45" s="54" customFormat="1" x14ac:dyDescent="0.25">
      <c r="Q352" s="195"/>
      <c r="R352" s="195"/>
      <c r="S352" s="195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</row>
    <row r="353" spans="17:45" s="54" customFormat="1" x14ac:dyDescent="0.25">
      <c r="Q353" s="195"/>
      <c r="R353" s="195"/>
      <c r="S353" s="195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</row>
    <row r="354" spans="17:45" s="54" customFormat="1" x14ac:dyDescent="0.25">
      <c r="Q354" s="195"/>
      <c r="R354" s="195"/>
      <c r="S354" s="195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</row>
    <row r="355" spans="17:45" s="54" customFormat="1" x14ac:dyDescent="0.25">
      <c r="Q355" s="195"/>
      <c r="R355" s="195"/>
      <c r="S355" s="195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</row>
    <row r="356" spans="17:45" s="54" customFormat="1" x14ac:dyDescent="0.25">
      <c r="Q356" s="195"/>
      <c r="R356" s="195"/>
      <c r="S356" s="195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</row>
    <row r="357" spans="17:45" s="54" customFormat="1" x14ac:dyDescent="0.25">
      <c r="Q357" s="195"/>
      <c r="R357" s="195"/>
      <c r="S357" s="195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</row>
    <row r="358" spans="17:45" s="54" customFormat="1" x14ac:dyDescent="0.25">
      <c r="Q358" s="195"/>
      <c r="R358" s="195"/>
      <c r="S358" s="195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</row>
    <row r="359" spans="17:45" s="54" customFormat="1" x14ac:dyDescent="0.25">
      <c r="Q359" s="195"/>
      <c r="R359" s="195"/>
      <c r="S359" s="195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</row>
    <row r="360" spans="17:45" s="54" customFormat="1" x14ac:dyDescent="0.25">
      <c r="Q360" s="195"/>
      <c r="R360" s="195"/>
      <c r="S360" s="195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</row>
    <row r="361" spans="17:45" s="54" customFormat="1" x14ac:dyDescent="0.25">
      <c r="Q361" s="195"/>
      <c r="R361" s="195"/>
      <c r="S361" s="195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</row>
    <row r="362" spans="17:45" s="54" customFormat="1" x14ac:dyDescent="0.25">
      <c r="Q362" s="195"/>
      <c r="R362" s="195"/>
      <c r="S362" s="195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</row>
    <row r="363" spans="17:45" s="54" customFormat="1" x14ac:dyDescent="0.25">
      <c r="Q363" s="195"/>
      <c r="R363" s="195"/>
      <c r="S363" s="195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</row>
    <row r="364" spans="17:45" s="54" customFormat="1" x14ac:dyDescent="0.25">
      <c r="Q364" s="195"/>
      <c r="R364" s="195"/>
      <c r="S364" s="195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</row>
    <row r="365" spans="17:45" s="54" customFormat="1" x14ac:dyDescent="0.25">
      <c r="Q365" s="195"/>
      <c r="R365" s="195"/>
      <c r="S365" s="195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</row>
    <row r="366" spans="17:45" s="54" customFormat="1" x14ac:dyDescent="0.25">
      <c r="Q366" s="195"/>
      <c r="R366" s="195"/>
      <c r="S366" s="195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</row>
    <row r="367" spans="17:45" s="54" customFormat="1" x14ac:dyDescent="0.25">
      <c r="Q367" s="195"/>
      <c r="R367" s="195"/>
      <c r="S367" s="195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</row>
    <row r="368" spans="17:45" s="54" customFormat="1" x14ac:dyDescent="0.25">
      <c r="Q368" s="195"/>
      <c r="R368" s="195"/>
      <c r="S368" s="195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</row>
    <row r="369" spans="17:45" s="54" customFormat="1" x14ac:dyDescent="0.25">
      <c r="Q369" s="195"/>
      <c r="R369" s="195"/>
      <c r="S369" s="195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</row>
    <row r="370" spans="17:45" s="54" customFormat="1" x14ac:dyDescent="0.25">
      <c r="Q370" s="195"/>
      <c r="R370" s="195"/>
      <c r="S370" s="195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</row>
    <row r="371" spans="17:45" s="54" customFormat="1" x14ac:dyDescent="0.25">
      <c r="Q371" s="195"/>
      <c r="R371" s="195"/>
      <c r="S371" s="195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</row>
    <row r="372" spans="17:45" s="54" customFormat="1" x14ac:dyDescent="0.25">
      <c r="Q372" s="195"/>
      <c r="R372" s="195"/>
      <c r="S372" s="195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</row>
    <row r="373" spans="17:45" s="54" customFormat="1" x14ac:dyDescent="0.25">
      <c r="Q373" s="195"/>
      <c r="R373" s="195"/>
      <c r="S373" s="195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</row>
    <row r="374" spans="17:45" s="54" customFormat="1" x14ac:dyDescent="0.25">
      <c r="Q374" s="195"/>
      <c r="R374" s="195"/>
      <c r="S374" s="195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</row>
    <row r="375" spans="17:45" s="54" customFormat="1" x14ac:dyDescent="0.25">
      <c r="Q375" s="195"/>
      <c r="R375" s="195"/>
      <c r="S375" s="195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</row>
    <row r="376" spans="17:45" s="54" customFormat="1" x14ac:dyDescent="0.25">
      <c r="Q376" s="195"/>
      <c r="R376" s="195"/>
      <c r="S376" s="195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</row>
    <row r="377" spans="17:45" s="54" customFormat="1" x14ac:dyDescent="0.25">
      <c r="Q377" s="195"/>
      <c r="R377" s="195"/>
      <c r="S377" s="195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</row>
    <row r="378" spans="17:45" s="54" customFormat="1" x14ac:dyDescent="0.25">
      <c r="Q378" s="195"/>
      <c r="R378" s="195"/>
      <c r="S378" s="195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</row>
    <row r="379" spans="17:45" s="54" customFormat="1" x14ac:dyDescent="0.25">
      <c r="Q379" s="195"/>
      <c r="R379" s="195"/>
      <c r="S379" s="195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</row>
    <row r="380" spans="17:45" s="54" customFormat="1" x14ac:dyDescent="0.25">
      <c r="Q380" s="195"/>
      <c r="R380" s="195"/>
      <c r="S380" s="195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</row>
    <row r="381" spans="17:45" s="54" customFormat="1" x14ac:dyDescent="0.25">
      <c r="Q381" s="195"/>
      <c r="R381" s="195"/>
      <c r="S381" s="195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</row>
    <row r="382" spans="17:45" s="54" customFormat="1" x14ac:dyDescent="0.25">
      <c r="Q382" s="195"/>
      <c r="R382" s="195"/>
      <c r="S382" s="195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</row>
    <row r="383" spans="17:45" s="54" customFormat="1" x14ac:dyDescent="0.25">
      <c r="Q383" s="195"/>
      <c r="R383" s="195"/>
      <c r="S383" s="195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</row>
    <row r="384" spans="17:45" s="54" customFormat="1" x14ac:dyDescent="0.25">
      <c r="Q384" s="195"/>
      <c r="R384" s="195"/>
      <c r="S384" s="195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</row>
    <row r="385" spans="17:45" s="54" customFormat="1" x14ac:dyDescent="0.25">
      <c r="Q385" s="195"/>
      <c r="R385" s="195"/>
      <c r="S385" s="195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</row>
    <row r="386" spans="17:45" s="54" customFormat="1" x14ac:dyDescent="0.25">
      <c r="Q386" s="195"/>
      <c r="R386" s="195"/>
      <c r="S386" s="195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</row>
    <row r="387" spans="17:45" s="54" customFormat="1" x14ac:dyDescent="0.25">
      <c r="Q387" s="195"/>
      <c r="R387" s="195"/>
      <c r="S387" s="195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</row>
    <row r="388" spans="17:45" s="54" customFormat="1" x14ac:dyDescent="0.25">
      <c r="Q388" s="195"/>
      <c r="R388" s="195"/>
      <c r="S388" s="195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</row>
    <row r="389" spans="17:45" s="54" customFormat="1" x14ac:dyDescent="0.25">
      <c r="Q389" s="195"/>
      <c r="R389" s="195"/>
      <c r="S389" s="195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</row>
    <row r="390" spans="17:45" s="54" customFormat="1" x14ac:dyDescent="0.25">
      <c r="Q390" s="195"/>
      <c r="R390" s="195"/>
      <c r="S390" s="195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</row>
    <row r="391" spans="17:45" s="54" customFormat="1" x14ac:dyDescent="0.25">
      <c r="Q391" s="195"/>
      <c r="R391" s="195"/>
      <c r="S391" s="195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</row>
    <row r="392" spans="17:45" s="54" customFormat="1" x14ac:dyDescent="0.25">
      <c r="Q392" s="195"/>
      <c r="R392" s="195"/>
      <c r="S392" s="195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</row>
    <row r="393" spans="17:45" s="54" customFormat="1" x14ac:dyDescent="0.25">
      <c r="Q393" s="195"/>
      <c r="R393" s="195"/>
      <c r="S393" s="195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</row>
    <row r="394" spans="17:45" s="54" customFormat="1" x14ac:dyDescent="0.25">
      <c r="Q394" s="195"/>
      <c r="R394" s="195"/>
      <c r="S394" s="195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</row>
    <row r="395" spans="17:45" s="54" customFormat="1" x14ac:dyDescent="0.25">
      <c r="Q395" s="195"/>
      <c r="R395" s="195"/>
      <c r="S395" s="195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</row>
    <row r="396" spans="17:45" s="54" customFormat="1" x14ac:dyDescent="0.25">
      <c r="Q396" s="195"/>
      <c r="R396" s="195"/>
      <c r="S396" s="195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</row>
    <row r="397" spans="17:45" s="54" customFormat="1" x14ac:dyDescent="0.25">
      <c r="Q397" s="195"/>
      <c r="R397" s="195"/>
      <c r="S397" s="195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</row>
    <row r="398" spans="17:45" s="54" customFormat="1" x14ac:dyDescent="0.25">
      <c r="Q398" s="195"/>
      <c r="R398" s="195"/>
      <c r="S398" s="195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</row>
    <row r="399" spans="17:45" s="54" customFormat="1" x14ac:dyDescent="0.25">
      <c r="Q399" s="195"/>
      <c r="R399" s="195"/>
      <c r="S399" s="195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</row>
    <row r="400" spans="17:45" s="54" customFormat="1" x14ac:dyDescent="0.25">
      <c r="Q400" s="195"/>
      <c r="R400" s="195"/>
      <c r="S400" s="195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</row>
    <row r="401" spans="17:45" s="54" customFormat="1" x14ac:dyDescent="0.25">
      <c r="Q401" s="195"/>
      <c r="R401" s="195"/>
      <c r="S401" s="195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</row>
    <row r="402" spans="17:45" s="54" customFormat="1" x14ac:dyDescent="0.25">
      <c r="Q402" s="195"/>
      <c r="R402" s="195"/>
      <c r="S402" s="195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</row>
    <row r="403" spans="17:45" s="54" customFormat="1" x14ac:dyDescent="0.25">
      <c r="Q403" s="195"/>
      <c r="R403" s="195"/>
      <c r="S403" s="195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</row>
    <row r="404" spans="17:45" s="54" customFormat="1" x14ac:dyDescent="0.25">
      <c r="Q404" s="195"/>
      <c r="R404" s="195"/>
      <c r="S404" s="195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</row>
    <row r="405" spans="17:45" s="54" customFormat="1" x14ac:dyDescent="0.25">
      <c r="Q405" s="195"/>
      <c r="R405" s="195"/>
      <c r="S405" s="195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</row>
    <row r="406" spans="17:45" s="54" customFormat="1" x14ac:dyDescent="0.25">
      <c r="Q406" s="195"/>
      <c r="R406" s="195"/>
      <c r="S406" s="195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</row>
    <row r="407" spans="17:45" s="54" customFormat="1" x14ac:dyDescent="0.25">
      <c r="Q407" s="195"/>
      <c r="R407" s="195"/>
      <c r="S407" s="195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</row>
    <row r="408" spans="17:45" s="54" customFormat="1" x14ac:dyDescent="0.25">
      <c r="Q408" s="195"/>
      <c r="R408" s="195"/>
      <c r="S408" s="195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</row>
    <row r="409" spans="17:45" s="54" customFormat="1" x14ac:dyDescent="0.25">
      <c r="Q409" s="195"/>
      <c r="R409" s="195"/>
      <c r="S409" s="195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</row>
    <row r="410" spans="17:45" s="54" customFormat="1" x14ac:dyDescent="0.25">
      <c r="Q410" s="195"/>
      <c r="R410" s="195"/>
      <c r="S410" s="195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</row>
    <row r="411" spans="17:45" s="54" customFormat="1" x14ac:dyDescent="0.25">
      <c r="Q411" s="195"/>
      <c r="R411" s="195"/>
      <c r="S411" s="195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</row>
    <row r="412" spans="17:45" s="54" customFormat="1" x14ac:dyDescent="0.25">
      <c r="Q412" s="195"/>
      <c r="R412" s="195"/>
      <c r="S412" s="195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</row>
    <row r="413" spans="17:45" s="54" customFormat="1" x14ac:dyDescent="0.25">
      <c r="Q413" s="195"/>
      <c r="R413" s="195"/>
      <c r="S413" s="195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</row>
    <row r="414" spans="17:45" s="54" customFormat="1" x14ac:dyDescent="0.25">
      <c r="Q414" s="195"/>
      <c r="R414" s="195"/>
      <c r="S414" s="195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</row>
    <row r="415" spans="17:45" s="54" customFormat="1" x14ac:dyDescent="0.25">
      <c r="Q415" s="195"/>
      <c r="R415" s="195"/>
      <c r="S415" s="195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</row>
    <row r="416" spans="17:45" s="54" customFormat="1" x14ac:dyDescent="0.25">
      <c r="Q416" s="195"/>
      <c r="R416" s="195"/>
      <c r="S416" s="195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</row>
    <row r="417" spans="17:45" s="54" customFormat="1" x14ac:dyDescent="0.25">
      <c r="Q417" s="195"/>
      <c r="R417" s="195"/>
      <c r="S417" s="195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</row>
    <row r="418" spans="17:45" s="54" customFormat="1" x14ac:dyDescent="0.25">
      <c r="Q418" s="195"/>
      <c r="R418" s="195"/>
      <c r="S418" s="195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</row>
    <row r="419" spans="17:45" s="54" customFormat="1" x14ac:dyDescent="0.25">
      <c r="Q419" s="195"/>
      <c r="R419" s="195"/>
      <c r="S419" s="195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</row>
    <row r="420" spans="17:45" s="54" customFormat="1" x14ac:dyDescent="0.25">
      <c r="Q420" s="195"/>
      <c r="R420" s="195"/>
      <c r="S420" s="195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</row>
    <row r="421" spans="17:45" s="54" customFormat="1" x14ac:dyDescent="0.25">
      <c r="Q421" s="195"/>
      <c r="R421" s="195"/>
      <c r="S421" s="195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</row>
    <row r="422" spans="17:45" s="54" customFormat="1" x14ac:dyDescent="0.25">
      <c r="Q422" s="195"/>
      <c r="R422" s="195"/>
      <c r="S422" s="195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</row>
    <row r="423" spans="17:45" s="54" customFormat="1" x14ac:dyDescent="0.25">
      <c r="Q423" s="195"/>
      <c r="R423" s="195"/>
      <c r="S423" s="195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</row>
    <row r="424" spans="17:45" s="54" customFormat="1" x14ac:dyDescent="0.25">
      <c r="Q424" s="195"/>
      <c r="R424" s="195"/>
      <c r="S424" s="195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</row>
    <row r="425" spans="17:45" s="54" customFormat="1" x14ac:dyDescent="0.25">
      <c r="Q425" s="195"/>
      <c r="R425" s="195"/>
      <c r="S425" s="195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</row>
    <row r="426" spans="17:45" s="54" customFormat="1" x14ac:dyDescent="0.25">
      <c r="Q426" s="195"/>
      <c r="R426" s="195"/>
      <c r="S426" s="195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</row>
    <row r="427" spans="17:45" s="54" customFormat="1" x14ac:dyDescent="0.25">
      <c r="Q427" s="195"/>
      <c r="R427" s="195"/>
      <c r="S427" s="195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</row>
    <row r="428" spans="17:45" s="54" customFormat="1" x14ac:dyDescent="0.25">
      <c r="Q428" s="195"/>
      <c r="R428" s="195"/>
      <c r="S428" s="195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</row>
    <row r="429" spans="17:45" s="54" customFormat="1" x14ac:dyDescent="0.25">
      <c r="Q429" s="195"/>
      <c r="R429" s="195"/>
      <c r="S429" s="195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</row>
    <row r="430" spans="17:45" s="54" customFormat="1" x14ac:dyDescent="0.25">
      <c r="Q430" s="195"/>
      <c r="R430" s="195"/>
      <c r="S430" s="195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</row>
    <row r="431" spans="17:45" s="54" customFormat="1" x14ac:dyDescent="0.25">
      <c r="Q431" s="195"/>
      <c r="R431" s="195"/>
      <c r="S431" s="195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</row>
    <row r="432" spans="17:45" s="54" customFormat="1" x14ac:dyDescent="0.25">
      <c r="Q432" s="195"/>
      <c r="R432" s="195"/>
      <c r="S432" s="195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</row>
    <row r="433" spans="17:45" s="54" customFormat="1" x14ac:dyDescent="0.25">
      <c r="Q433" s="195"/>
      <c r="R433" s="195"/>
      <c r="S433" s="195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</row>
    <row r="434" spans="17:45" s="54" customFormat="1" x14ac:dyDescent="0.25">
      <c r="Q434" s="195"/>
      <c r="R434" s="195"/>
      <c r="S434" s="195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</row>
    <row r="435" spans="17:45" s="54" customFormat="1" x14ac:dyDescent="0.25">
      <c r="Q435" s="195"/>
      <c r="R435" s="195"/>
      <c r="S435" s="195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</row>
    <row r="436" spans="17:45" s="54" customFormat="1" x14ac:dyDescent="0.25">
      <c r="Q436" s="195"/>
      <c r="R436" s="195"/>
      <c r="S436" s="195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</row>
    <row r="437" spans="17:45" s="54" customFormat="1" x14ac:dyDescent="0.25">
      <c r="Q437" s="195"/>
      <c r="R437" s="195"/>
      <c r="S437" s="195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</row>
    <row r="438" spans="17:45" s="54" customFormat="1" x14ac:dyDescent="0.25">
      <c r="Q438" s="195"/>
      <c r="R438" s="195"/>
      <c r="S438" s="195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</row>
    <row r="439" spans="17:45" s="54" customFormat="1" x14ac:dyDescent="0.25">
      <c r="Q439" s="195"/>
      <c r="R439" s="195"/>
      <c r="S439" s="195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</row>
    <row r="440" spans="17:45" s="54" customFormat="1" x14ac:dyDescent="0.25">
      <c r="Q440" s="195"/>
      <c r="R440" s="195"/>
      <c r="S440" s="195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</row>
    <row r="441" spans="17:45" s="54" customFormat="1" x14ac:dyDescent="0.25">
      <c r="Q441" s="195"/>
      <c r="R441" s="195"/>
      <c r="S441" s="195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</row>
    <row r="442" spans="17:45" s="54" customFormat="1" x14ac:dyDescent="0.25">
      <c r="Q442" s="195"/>
      <c r="R442" s="195"/>
      <c r="S442" s="195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</row>
    <row r="443" spans="17:45" s="54" customFormat="1" x14ac:dyDescent="0.25">
      <c r="Q443" s="195"/>
      <c r="R443" s="195"/>
      <c r="S443" s="195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</row>
    <row r="444" spans="17:45" s="54" customFormat="1" x14ac:dyDescent="0.25">
      <c r="Q444" s="195"/>
      <c r="R444" s="195"/>
      <c r="S444" s="195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</row>
    <row r="445" spans="17:45" s="54" customFormat="1" x14ac:dyDescent="0.25">
      <c r="Q445" s="195"/>
      <c r="R445" s="195"/>
      <c r="S445" s="195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</row>
    <row r="446" spans="17:45" s="54" customFormat="1" x14ac:dyDescent="0.25">
      <c r="Q446" s="195"/>
      <c r="R446" s="195"/>
      <c r="S446" s="195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</row>
    <row r="447" spans="17:45" s="54" customFormat="1" x14ac:dyDescent="0.25">
      <c r="Q447" s="195"/>
      <c r="R447" s="195"/>
      <c r="S447" s="195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</row>
    <row r="448" spans="17:45" s="54" customFormat="1" x14ac:dyDescent="0.25">
      <c r="Q448" s="195"/>
      <c r="R448" s="195"/>
      <c r="S448" s="195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</row>
    <row r="449" spans="17:45" s="54" customFormat="1" x14ac:dyDescent="0.25">
      <c r="Q449" s="195"/>
      <c r="R449" s="195"/>
      <c r="S449" s="195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</row>
    <row r="450" spans="17:45" s="54" customFormat="1" x14ac:dyDescent="0.25">
      <c r="Q450" s="195"/>
      <c r="R450" s="195"/>
      <c r="S450" s="195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</row>
    <row r="451" spans="17:45" s="54" customFormat="1" x14ac:dyDescent="0.25">
      <c r="Q451" s="195"/>
      <c r="R451" s="195"/>
      <c r="S451" s="195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</row>
    <row r="452" spans="17:45" s="54" customFormat="1" x14ac:dyDescent="0.25">
      <c r="Q452" s="195"/>
      <c r="R452" s="195"/>
      <c r="S452" s="195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</row>
    <row r="453" spans="17:45" s="54" customFormat="1" x14ac:dyDescent="0.25">
      <c r="Q453" s="195"/>
      <c r="R453" s="195"/>
      <c r="S453" s="195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</row>
    <row r="454" spans="17:45" s="54" customFormat="1" x14ac:dyDescent="0.25">
      <c r="Q454" s="195"/>
      <c r="R454" s="195"/>
      <c r="S454" s="195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</row>
    <row r="455" spans="17:45" s="54" customFormat="1" x14ac:dyDescent="0.25">
      <c r="Q455" s="195"/>
      <c r="R455" s="195"/>
      <c r="S455" s="195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</row>
    <row r="456" spans="17:45" s="54" customFormat="1" x14ac:dyDescent="0.25">
      <c r="Q456" s="195"/>
      <c r="R456" s="195"/>
      <c r="S456" s="195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</row>
    <row r="457" spans="17:45" s="54" customFormat="1" x14ac:dyDescent="0.25">
      <c r="Q457" s="195"/>
      <c r="R457" s="195"/>
      <c r="S457" s="195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</row>
    <row r="458" spans="17:45" s="54" customFormat="1" x14ac:dyDescent="0.25">
      <c r="Q458" s="195"/>
      <c r="R458" s="195"/>
      <c r="S458" s="195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  <c r="AQ458" s="90"/>
      <c r="AR458" s="90"/>
      <c r="AS458" s="90"/>
    </row>
    <row r="459" spans="17:45" s="54" customFormat="1" x14ac:dyDescent="0.25">
      <c r="Q459" s="195"/>
      <c r="R459" s="195"/>
      <c r="S459" s="195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</row>
    <row r="460" spans="17:45" s="54" customFormat="1" x14ac:dyDescent="0.25">
      <c r="Q460" s="195"/>
      <c r="R460" s="195"/>
      <c r="S460" s="195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  <c r="AQ460" s="90"/>
      <c r="AR460" s="90"/>
      <c r="AS460" s="90"/>
    </row>
    <row r="461" spans="17:45" s="54" customFormat="1" x14ac:dyDescent="0.25">
      <c r="Q461" s="195"/>
      <c r="R461" s="195"/>
      <c r="S461" s="195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</row>
    <row r="462" spans="17:45" s="54" customFormat="1" x14ac:dyDescent="0.25">
      <c r="Q462" s="195"/>
      <c r="R462" s="195"/>
      <c r="S462" s="195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  <c r="AQ462" s="90"/>
      <c r="AR462" s="90"/>
      <c r="AS462" s="90"/>
    </row>
    <row r="463" spans="17:45" s="54" customFormat="1" x14ac:dyDescent="0.25">
      <c r="Q463" s="195"/>
      <c r="R463" s="195"/>
      <c r="S463" s="195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</row>
    <row r="464" spans="17:45" s="54" customFormat="1" x14ac:dyDescent="0.25">
      <c r="Q464" s="195"/>
      <c r="R464" s="195"/>
      <c r="S464" s="195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90"/>
      <c r="AQ464" s="90"/>
      <c r="AR464" s="90"/>
      <c r="AS464" s="90"/>
    </row>
    <row r="465" spans="17:45" s="54" customFormat="1" x14ac:dyDescent="0.25">
      <c r="Q465" s="195"/>
      <c r="R465" s="195"/>
      <c r="S465" s="195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  <c r="AQ465" s="90"/>
      <c r="AR465" s="90"/>
      <c r="AS465" s="90"/>
    </row>
    <row r="466" spans="17:45" s="54" customFormat="1" x14ac:dyDescent="0.25">
      <c r="Q466" s="195"/>
      <c r="R466" s="195"/>
      <c r="S466" s="195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  <c r="AL466" s="90"/>
      <c r="AM466" s="90"/>
      <c r="AN466" s="90"/>
      <c r="AO466" s="90"/>
      <c r="AP466" s="90"/>
      <c r="AQ466" s="90"/>
      <c r="AR466" s="90"/>
      <c r="AS466" s="90"/>
    </row>
    <row r="467" spans="17:45" s="54" customFormat="1" x14ac:dyDescent="0.25">
      <c r="Q467" s="195"/>
      <c r="R467" s="195"/>
      <c r="S467" s="195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  <c r="AP467" s="90"/>
      <c r="AQ467" s="90"/>
      <c r="AR467" s="90"/>
      <c r="AS467" s="90"/>
    </row>
    <row r="468" spans="17:45" s="54" customFormat="1" x14ac:dyDescent="0.25">
      <c r="Q468" s="195"/>
      <c r="R468" s="195"/>
      <c r="S468" s="195"/>
      <c r="T468" s="90"/>
      <c r="U468" s="90"/>
      <c r="V468" s="90"/>
      <c r="W468" s="90"/>
      <c r="X468" s="90"/>
      <c r="Y468" s="90"/>
      <c r="Z468" s="90"/>
      <c r="AA468" s="90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  <c r="AL468" s="90"/>
      <c r="AM468" s="90"/>
      <c r="AN468" s="90"/>
      <c r="AO468" s="90"/>
      <c r="AP468" s="90"/>
      <c r="AQ468" s="90"/>
      <c r="AR468" s="90"/>
      <c r="AS468" s="90"/>
    </row>
    <row r="469" spans="17:45" s="54" customFormat="1" x14ac:dyDescent="0.25">
      <c r="Q469" s="195"/>
      <c r="R469" s="195"/>
      <c r="S469" s="195"/>
      <c r="T469" s="90"/>
      <c r="U469" s="90"/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  <c r="AP469" s="90"/>
      <c r="AQ469" s="90"/>
      <c r="AR469" s="90"/>
      <c r="AS469" s="90"/>
    </row>
    <row r="470" spans="17:45" s="54" customFormat="1" x14ac:dyDescent="0.25">
      <c r="Q470" s="195"/>
      <c r="R470" s="195"/>
      <c r="S470" s="195"/>
      <c r="T470" s="90"/>
      <c r="U470" s="90"/>
      <c r="V470" s="90"/>
      <c r="W470" s="90"/>
      <c r="X470" s="90"/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  <c r="AL470" s="90"/>
      <c r="AM470" s="90"/>
      <c r="AN470" s="90"/>
      <c r="AO470" s="90"/>
      <c r="AP470" s="90"/>
      <c r="AQ470" s="90"/>
      <c r="AR470" s="90"/>
      <c r="AS470" s="90"/>
    </row>
    <row r="471" spans="17:45" s="54" customFormat="1" x14ac:dyDescent="0.25">
      <c r="Q471" s="195"/>
      <c r="R471" s="195"/>
      <c r="S471" s="195"/>
      <c r="T471" s="90"/>
      <c r="U471" s="90"/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  <c r="AP471" s="90"/>
      <c r="AQ471" s="90"/>
      <c r="AR471" s="90"/>
      <c r="AS471" s="90"/>
    </row>
    <row r="472" spans="17:45" s="54" customFormat="1" x14ac:dyDescent="0.25">
      <c r="Q472" s="195"/>
      <c r="R472" s="195"/>
      <c r="S472" s="195"/>
      <c r="T472" s="90"/>
      <c r="U472" s="90"/>
      <c r="V472" s="90"/>
      <c r="W472" s="90"/>
      <c r="X472" s="90"/>
      <c r="Y472" s="90"/>
      <c r="Z472" s="90"/>
      <c r="AA472" s="90"/>
      <c r="AB472" s="90"/>
      <c r="AC472" s="90"/>
      <c r="AD472" s="90"/>
      <c r="AE472" s="90"/>
      <c r="AF472" s="90"/>
      <c r="AG472" s="90"/>
      <c r="AH472" s="90"/>
      <c r="AI472" s="90"/>
      <c r="AJ472" s="90"/>
      <c r="AK472" s="90"/>
      <c r="AL472" s="90"/>
      <c r="AM472" s="90"/>
      <c r="AN472" s="90"/>
      <c r="AO472" s="90"/>
      <c r="AP472" s="90"/>
      <c r="AQ472" s="90"/>
      <c r="AR472" s="90"/>
      <c r="AS472" s="90"/>
    </row>
    <row r="473" spans="17:45" s="54" customFormat="1" x14ac:dyDescent="0.25">
      <c r="Q473" s="195"/>
      <c r="R473" s="195"/>
      <c r="S473" s="195"/>
      <c r="T473" s="90"/>
      <c r="U473" s="90"/>
      <c r="V473" s="90"/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  <c r="AO473" s="90"/>
      <c r="AP473" s="90"/>
      <c r="AQ473" s="90"/>
      <c r="AR473" s="90"/>
      <c r="AS473" s="90"/>
    </row>
    <row r="474" spans="17:45" s="54" customFormat="1" x14ac:dyDescent="0.25">
      <c r="Q474" s="195"/>
      <c r="R474" s="195"/>
      <c r="S474" s="195"/>
      <c r="T474" s="90"/>
      <c r="U474" s="90"/>
      <c r="V474" s="90"/>
      <c r="W474" s="90"/>
      <c r="X474" s="90"/>
      <c r="Y474" s="90"/>
      <c r="Z474" s="90"/>
      <c r="AA474" s="90"/>
      <c r="AB474" s="90"/>
      <c r="AC474" s="90"/>
      <c r="AD474" s="90"/>
      <c r="AE474" s="90"/>
      <c r="AF474" s="90"/>
      <c r="AG474" s="90"/>
      <c r="AH474" s="90"/>
      <c r="AI474" s="90"/>
      <c r="AJ474" s="90"/>
      <c r="AK474" s="90"/>
      <c r="AL474" s="90"/>
      <c r="AM474" s="90"/>
      <c r="AN474" s="90"/>
      <c r="AO474" s="90"/>
      <c r="AP474" s="90"/>
      <c r="AQ474" s="90"/>
      <c r="AR474" s="90"/>
      <c r="AS474" s="90"/>
    </row>
    <row r="475" spans="17:45" s="54" customFormat="1" x14ac:dyDescent="0.25">
      <c r="Q475" s="195"/>
      <c r="R475" s="195"/>
      <c r="S475" s="195"/>
      <c r="T475" s="90"/>
      <c r="U475" s="90"/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  <c r="AP475" s="90"/>
      <c r="AQ475" s="90"/>
      <c r="AR475" s="90"/>
      <c r="AS475" s="90"/>
    </row>
    <row r="476" spans="17:45" s="54" customFormat="1" x14ac:dyDescent="0.25">
      <c r="Q476" s="195"/>
      <c r="R476" s="195"/>
      <c r="S476" s="195"/>
      <c r="T476" s="90"/>
      <c r="U476" s="90"/>
      <c r="V476" s="90"/>
      <c r="W476" s="90"/>
      <c r="X476" s="90"/>
      <c r="Y476" s="90"/>
      <c r="Z476" s="90"/>
      <c r="AA476" s="90"/>
      <c r="AB476" s="90"/>
      <c r="AC476" s="90"/>
      <c r="AD476" s="90"/>
      <c r="AE476" s="90"/>
      <c r="AF476" s="90"/>
      <c r="AG476" s="90"/>
      <c r="AH476" s="90"/>
      <c r="AI476" s="90"/>
      <c r="AJ476" s="90"/>
      <c r="AK476" s="90"/>
      <c r="AL476" s="90"/>
      <c r="AM476" s="90"/>
      <c r="AN476" s="90"/>
      <c r="AO476" s="90"/>
      <c r="AP476" s="90"/>
      <c r="AQ476" s="90"/>
      <c r="AR476" s="90"/>
      <c r="AS476" s="90"/>
    </row>
    <row r="477" spans="17:45" s="54" customFormat="1" x14ac:dyDescent="0.25">
      <c r="Q477" s="195"/>
      <c r="R477" s="195"/>
      <c r="S477" s="195"/>
      <c r="T477" s="90"/>
      <c r="U477" s="90"/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  <c r="AP477" s="90"/>
      <c r="AQ477" s="90"/>
      <c r="AR477" s="90"/>
      <c r="AS477" s="90"/>
    </row>
    <row r="478" spans="17:45" s="54" customFormat="1" x14ac:dyDescent="0.25">
      <c r="Q478" s="195"/>
      <c r="R478" s="195"/>
      <c r="S478" s="195"/>
      <c r="T478" s="90"/>
      <c r="U478" s="90"/>
      <c r="V478" s="90"/>
      <c r="W478" s="90"/>
      <c r="X478" s="90"/>
      <c r="Y478" s="90"/>
      <c r="Z478" s="90"/>
      <c r="AA478" s="90"/>
      <c r="AB478" s="90"/>
      <c r="AC478" s="90"/>
      <c r="AD478" s="90"/>
      <c r="AE478" s="90"/>
      <c r="AF478" s="90"/>
      <c r="AG478" s="90"/>
      <c r="AH478" s="90"/>
      <c r="AI478" s="90"/>
      <c r="AJ478" s="90"/>
      <c r="AK478" s="90"/>
      <c r="AL478" s="90"/>
      <c r="AM478" s="90"/>
      <c r="AN478" s="90"/>
      <c r="AO478" s="90"/>
      <c r="AP478" s="90"/>
      <c r="AQ478" s="90"/>
      <c r="AR478" s="90"/>
      <c r="AS478" s="90"/>
    </row>
    <row r="479" spans="17:45" s="54" customFormat="1" x14ac:dyDescent="0.25">
      <c r="Q479" s="195"/>
      <c r="R479" s="195"/>
      <c r="S479" s="195"/>
      <c r="T479" s="90"/>
      <c r="U479" s="90"/>
      <c r="V479" s="90"/>
      <c r="W479" s="90"/>
      <c r="X479" s="90"/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  <c r="AL479" s="90"/>
      <c r="AM479" s="90"/>
      <c r="AN479" s="90"/>
      <c r="AO479" s="90"/>
      <c r="AP479" s="90"/>
      <c r="AQ479" s="90"/>
      <c r="AR479" s="90"/>
      <c r="AS479" s="90"/>
    </row>
    <row r="480" spans="17:45" s="54" customFormat="1" x14ac:dyDescent="0.25">
      <c r="Q480" s="195"/>
      <c r="R480" s="195"/>
      <c r="S480" s="195"/>
      <c r="T480" s="90"/>
      <c r="U480" s="90"/>
      <c r="V480" s="90"/>
      <c r="W480" s="90"/>
      <c r="X480" s="90"/>
      <c r="Y480" s="90"/>
      <c r="Z480" s="90"/>
      <c r="AA480" s="90"/>
      <c r="AB480" s="90"/>
      <c r="AC480" s="90"/>
      <c r="AD480" s="90"/>
      <c r="AE480" s="90"/>
      <c r="AF480" s="90"/>
      <c r="AG480" s="90"/>
      <c r="AH480" s="90"/>
      <c r="AI480" s="90"/>
      <c r="AJ480" s="90"/>
      <c r="AK480" s="90"/>
      <c r="AL480" s="90"/>
      <c r="AM480" s="90"/>
      <c r="AN480" s="90"/>
      <c r="AO480" s="90"/>
      <c r="AP480" s="90"/>
      <c r="AQ480" s="90"/>
      <c r="AR480" s="90"/>
      <c r="AS480" s="90"/>
    </row>
    <row r="481" spans="17:45" s="54" customFormat="1" x14ac:dyDescent="0.25">
      <c r="Q481" s="195"/>
      <c r="R481" s="195"/>
      <c r="S481" s="195"/>
      <c r="T481" s="90"/>
      <c r="U481" s="90"/>
      <c r="V481" s="90"/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  <c r="AO481" s="90"/>
      <c r="AP481" s="90"/>
      <c r="AQ481" s="90"/>
      <c r="AR481" s="90"/>
      <c r="AS481" s="90"/>
    </row>
    <row r="482" spans="17:45" s="54" customFormat="1" x14ac:dyDescent="0.25">
      <c r="Q482" s="195"/>
      <c r="R482" s="195"/>
      <c r="S482" s="195"/>
      <c r="T482" s="90"/>
      <c r="U482" s="90"/>
      <c r="V482" s="90"/>
      <c r="W482" s="90"/>
      <c r="X482" s="90"/>
      <c r="Y482" s="90"/>
      <c r="Z482" s="90"/>
      <c r="AA482" s="90"/>
      <c r="AB482" s="90"/>
      <c r="AC482" s="90"/>
      <c r="AD482" s="90"/>
      <c r="AE482" s="90"/>
      <c r="AF482" s="90"/>
      <c r="AG482" s="90"/>
      <c r="AH482" s="90"/>
      <c r="AI482" s="90"/>
      <c r="AJ482" s="90"/>
      <c r="AK482" s="90"/>
      <c r="AL482" s="90"/>
      <c r="AM482" s="90"/>
      <c r="AN482" s="90"/>
      <c r="AO482" s="90"/>
      <c r="AP482" s="90"/>
      <c r="AQ482" s="90"/>
      <c r="AR482" s="90"/>
      <c r="AS482" s="90"/>
    </row>
    <row r="483" spans="17:45" s="54" customFormat="1" x14ac:dyDescent="0.25">
      <c r="Q483" s="195"/>
      <c r="R483" s="195"/>
      <c r="S483" s="195"/>
      <c r="T483" s="90"/>
      <c r="U483" s="90"/>
      <c r="V483" s="90"/>
      <c r="W483" s="90"/>
      <c r="X483" s="90"/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  <c r="AL483" s="90"/>
      <c r="AM483" s="90"/>
      <c r="AN483" s="90"/>
      <c r="AO483" s="90"/>
      <c r="AP483" s="90"/>
      <c r="AQ483" s="90"/>
      <c r="AR483" s="90"/>
      <c r="AS483" s="90"/>
    </row>
    <row r="484" spans="17:45" s="54" customFormat="1" x14ac:dyDescent="0.25">
      <c r="Q484" s="195"/>
      <c r="R484" s="195"/>
      <c r="S484" s="195"/>
      <c r="T484" s="90"/>
      <c r="U484" s="90"/>
      <c r="V484" s="90"/>
      <c r="W484" s="90"/>
      <c r="X484" s="90"/>
      <c r="Y484" s="90"/>
      <c r="Z484" s="90"/>
      <c r="AA484" s="90"/>
      <c r="AB484" s="90"/>
      <c r="AC484" s="90"/>
      <c r="AD484" s="90"/>
      <c r="AE484" s="90"/>
      <c r="AF484" s="90"/>
      <c r="AG484" s="90"/>
      <c r="AH484" s="90"/>
      <c r="AI484" s="90"/>
      <c r="AJ484" s="90"/>
      <c r="AK484" s="90"/>
      <c r="AL484" s="90"/>
      <c r="AM484" s="90"/>
      <c r="AN484" s="90"/>
      <c r="AO484" s="90"/>
      <c r="AP484" s="90"/>
      <c r="AQ484" s="90"/>
      <c r="AR484" s="90"/>
      <c r="AS484" s="90"/>
    </row>
    <row r="485" spans="17:45" s="54" customFormat="1" x14ac:dyDescent="0.25">
      <c r="Q485" s="195"/>
      <c r="R485" s="195"/>
      <c r="S485" s="195"/>
      <c r="T485" s="90"/>
      <c r="U485" s="90"/>
      <c r="V485" s="90"/>
      <c r="W485" s="90"/>
      <c r="X485" s="90"/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90"/>
      <c r="AN485" s="90"/>
      <c r="AO485" s="90"/>
      <c r="AP485" s="90"/>
      <c r="AQ485" s="90"/>
      <c r="AR485" s="90"/>
      <c r="AS485" s="90"/>
    </row>
    <row r="486" spans="17:45" s="54" customFormat="1" x14ac:dyDescent="0.25">
      <c r="Q486" s="195"/>
      <c r="R486" s="195"/>
      <c r="S486" s="195"/>
      <c r="T486" s="90"/>
      <c r="U486" s="90"/>
      <c r="V486" s="90"/>
      <c r="W486" s="90"/>
      <c r="X486" s="90"/>
      <c r="Y486" s="90"/>
      <c r="Z486" s="90"/>
      <c r="AA486" s="90"/>
      <c r="AB486" s="90"/>
      <c r="AC486" s="90"/>
      <c r="AD486" s="90"/>
      <c r="AE486" s="90"/>
      <c r="AF486" s="90"/>
      <c r="AG486" s="90"/>
      <c r="AH486" s="90"/>
      <c r="AI486" s="90"/>
      <c r="AJ486" s="90"/>
      <c r="AK486" s="90"/>
      <c r="AL486" s="90"/>
      <c r="AM486" s="90"/>
      <c r="AN486" s="90"/>
      <c r="AO486" s="90"/>
      <c r="AP486" s="90"/>
      <c r="AQ486" s="90"/>
      <c r="AR486" s="90"/>
      <c r="AS486" s="90"/>
    </row>
    <row r="487" spans="17:45" s="54" customFormat="1" x14ac:dyDescent="0.25">
      <c r="Q487" s="195"/>
      <c r="R487" s="195"/>
      <c r="S487" s="195"/>
      <c r="T487" s="90"/>
      <c r="U487" s="90"/>
      <c r="V487" s="90"/>
      <c r="W487" s="90"/>
      <c r="X487" s="90"/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  <c r="AL487" s="90"/>
      <c r="AM487" s="90"/>
      <c r="AN487" s="90"/>
      <c r="AO487" s="90"/>
      <c r="AP487" s="90"/>
      <c r="AQ487" s="90"/>
      <c r="AR487" s="90"/>
      <c r="AS487" s="90"/>
    </row>
    <row r="488" spans="17:45" s="54" customFormat="1" x14ac:dyDescent="0.25">
      <c r="Q488" s="195"/>
      <c r="R488" s="195"/>
      <c r="S488" s="195"/>
      <c r="T488" s="90"/>
      <c r="U488" s="90"/>
      <c r="V488" s="90"/>
      <c r="W488" s="90"/>
      <c r="X488" s="90"/>
      <c r="Y488" s="90"/>
      <c r="Z488" s="90"/>
      <c r="AA488" s="90"/>
      <c r="AB488" s="90"/>
      <c r="AC488" s="90"/>
      <c r="AD488" s="90"/>
      <c r="AE488" s="90"/>
      <c r="AF488" s="90"/>
      <c r="AG488" s="90"/>
      <c r="AH488" s="90"/>
      <c r="AI488" s="90"/>
      <c r="AJ488" s="90"/>
      <c r="AK488" s="90"/>
      <c r="AL488" s="90"/>
      <c r="AM488" s="90"/>
      <c r="AN488" s="90"/>
      <c r="AO488" s="90"/>
      <c r="AP488" s="90"/>
      <c r="AQ488" s="90"/>
      <c r="AR488" s="90"/>
      <c r="AS488" s="90"/>
    </row>
    <row r="489" spans="17:45" s="54" customFormat="1" x14ac:dyDescent="0.25">
      <c r="Q489" s="195"/>
      <c r="R489" s="195"/>
      <c r="S489" s="195"/>
      <c r="T489" s="90"/>
      <c r="U489" s="90"/>
      <c r="V489" s="90"/>
      <c r="W489" s="90"/>
      <c r="X489" s="90"/>
      <c r="Y489" s="90"/>
      <c r="Z489" s="90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  <c r="AM489" s="90"/>
      <c r="AN489" s="90"/>
      <c r="AO489" s="90"/>
      <c r="AP489" s="90"/>
      <c r="AQ489" s="90"/>
      <c r="AR489" s="90"/>
      <c r="AS489" s="90"/>
    </row>
    <row r="490" spans="17:45" s="54" customFormat="1" x14ac:dyDescent="0.25">
      <c r="Q490" s="195"/>
      <c r="R490" s="195"/>
      <c r="S490" s="195"/>
      <c r="T490" s="90"/>
      <c r="U490" s="90"/>
      <c r="V490" s="90"/>
      <c r="W490" s="90"/>
      <c r="X490" s="90"/>
      <c r="Y490" s="90"/>
      <c r="Z490" s="90"/>
      <c r="AA490" s="90"/>
      <c r="AB490" s="90"/>
      <c r="AC490" s="90"/>
      <c r="AD490" s="90"/>
      <c r="AE490" s="90"/>
      <c r="AF490" s="90"/>
      <c r="AG490" s="90"/>
      <c r="AH490" s="90"/>
      <c r="AI490" s="90"/>
      <c r="AJ490" s="90"/>
      <c r="AK490" s="90"/>
      <c r="AL490" s="90"/>
      <c r="AM490" s="90"/>
      <c r="AN490" s="90"/>
      <c r="AO490" s="90"/>
      <c r="AP490" s="90"/>
      <c r="AQ490" s="90"/>
      <c r="AR490" s="90"/>
      <c r="AS490" s="90"/>
    </row>
    <row r="491" spans="17:45" s="54" customFormat="1" x14ac:dyDescent="0.25">
      <c r="Q491" s="195"/>
      <c r="R491" s="195"/>
      <c r="S491" s="195"/>
      <c r="T491" s="90"/>
      <c r="U491" s="90"/>
      <c r="V491" s="90"/>
      <c r="W491" s="90"/>
      <c r="X491" s="90"/>
      <c r="Y491" s="90"/>
      <c r="Z491" s="90"/>
      <c r="AA491" s="90"/>
      <c r="AB491" s="90"/>
      <c r="AC491" s="90"/>
      <c r="AD491" s="90"/>
      <c r="AE491" s="90"/>
      <c r="AF491" s="90"/>
      <c r="AG491" s="90"/>
      <c r="AH491" s="90"/>
      <c r="AI491" s="90"/>
      <c r="AJ491" s="90"/>
      <c r="AK491" s="90"/>
      <c r="AL491" s="90"/>
      <c r="AM491" s="90"/>
      <c r="AN491" s="90"/>
      <c r="AO491" s="90"/>
      <c r="AP491" s="90"/>
      <c r="AQ491" s="90"/>
      <c r="AR491" s="90"/>
      <c r="AS491" s="90"/>
    </row>
  </sheetData>
  <autoFilter ref="A14:BN85" xr:uid="{5C3DE8FC-3CC8-4C94-A6D7-CA0FF7B50524}"/>
  <mergeCells count="15">
    <mergeCell ref="L13:P13"/>
    <mergeCell ref="Q13:S13"/>
    <mergeCell ref="D88:H88"/>
    <mergeCell ref="L88:O88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">
    <cfRule type="expression" priority="46" stopIfTrue="1">
      <formula>#REF!</formula>
    </cfRule>
  </conditionalFormatting>
  <conditionalFormatting sqref="C18:C37">
    <cfRule type="expression" priority="2" stopIfTrue="1">
      <formula>#REF!</formula>
    </cfRule>
  </conditionalFormatting>
  <conditionalFormatting sqref="C40">
    <cfRule type="expression" priority="9" stopIfTrue="1">
      <formula>#REF!</formula>
    </cfRule>
  </conditionalFormatting>
  <conditionalFormatting sqref="C42:C49">
    <cfRule type="expression" priority="10" stopIfTrue="1">
      <formula>#REF!</formula>
    </cfRule>
  </conditionalFormatting>
  <conditionalFormatting sqref="C52">
    <cfRule type="expression" priority="8" stopIfTrue="1">
      <formula>#REF!</formula>
    </cfRule>
  </conditionalFormatting>
  <conditionalFormatting sqref="C55:C76">
    <cfRule type="expression" priority="5" stopIfTrue="1">
      <formula>#REF!</formula>
    </cfRule>
  </conditionalFormatting>
  <conditionalFormatting sqref="C84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35379-933E-402C-A48B-27DCF7E28B49}">
  <sheetPr>
    <tabColor rgb="FF00B050"/>
    <pageSetUpPr fitToPage="1"/>
  </sheetPr>
  <dimension ref="A1:BQ433"/>
  <sheetViews>
    <sheetView showZeros="0" topLeftCell="A7" zoomScaleNormal="100" workbookViewId="0">
      <selection activeCell="F15" sqref="F15:P26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7" width="8.28515625" style="4" customWidth="1"/>
    <col min="8" max="15" width="10.7109375" style="4" customWidth="1"/>
    <col min="16" max="16" width="13.28515625" style="4" customWidth="1"/>
    <col min="17" max="19" width="5.7109375" style="195" customWidth="1" outlineLevel="1"/>
    <col min="20" max="22" width="10.7109375" style="90" customWidth="1" outlineLevel="1"/>
    <col min="23" max="45" width="10.7109375" style="90" customWidth="1"/>
    <col min="46" max="66" width="8.85546875" style="54"/>
    <col min="67" max="16384" width="8.85546875" style="4"/>
  </cols>
  <sheetData>
    <row r="1" spans="1:68" ht="15" x14ac:dyDescent="0.2">
      <c r="A1" s="408" t="s">
        <v>397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68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68" ht="15" x14ac:dyDescent="0.2">
      <c r="A3" s="409" t="str">
        <f>Kopsavilkums!C19</f>
        <v>Metāla konstrukcijas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4" spans="1:68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</row>
    <row r="5" spans="1:68" x14ac:dyDescent="0.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68" x14ac:dyDescent="0.2">
      <c r="A6" s="1" t="s">
        <v>64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68" x14ac:dyDescent="0.2">
      <c r="A7" s="1" t="s">
        <v>65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68" x14ac:dyDescent="0.2">
      <c r="A8" s="2" t="s">
        <v>66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68" x14ac:dyDescent="0.2">
      <c r="A9" s="1" t="s">
        <v>54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0</v>
      </c>
      <c r="P9" s="18">
        <f>P27</f>
        <v>0</v>
      </c>
    </row>
    <row r="10" spans="1:68" ht="4.9000000000000004" customHeight="1" x14ac:dyDescent="0.2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68" x14ac:dyDescent="0.2">
      <c r="A11" s="107" t="s">
        <v>67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 xml:space="preserve">Tāme sastādīta: </v>
      </c>
    </row>
    <row r="12" spans="1:68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68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</v>
      </c>
      <c r="E13" s="418" t="s">
        <v>5</v>
      </c>
      <c r="F13" s="412" t="s">
        <v>6</v>
      </c>
      <c r="G13" s="420" t="s">
        <v>19</v>
      </c>
      <c r="H13" s="404" t="s">
        <v>7</v>
      </c>
      <c r="I13" s="405"/>
      <c r="J13" s="405"/>
      <c r="K13" s="406"/>
      <c r="L13" s="405" t="s">
        <v>8</v>
      </c>
      <c r="M13" s="405"/>
      <c r="N13" s="405"/>
      <c r="O13" s="405"/>
      <c r="P13" s="406"/>
      <c r="Q13" s="403"/>
      <c r="R13" s="403"/>
      <c r="S13" s="403"/>
    </row>
    <row r="14" spans="1:68" ht="34.9" customHeight="1" thickBot="1" x14ac:dyDescent="0.25">
      <c r="A14" s="413"/>
      <c r="B14" s="415"/>
      <c r="C14" s="415"/>
      <c r="D14" s="417"/>
      <c r="E14" s="419"/>
      <c r="F14" s="413"/>
      <c r="G14" s="421"/>
      <c r="H14" s="56" t="s">
        <v>17</v>
      </c>
      <c r="I14" s="60" t="s">
        <v>16</v>
      </c>
      <c r="J14" s="57" t="s">
        <v>15</v>
      </c>
      <c r="K14" s="58" t="s">
        <v>18</v>
      </c>
      <c r="L14" s="58" t="s">
        <v>9</v>
      </c>
      <c r="M14" s="56" t="s">
        <v>17</v>
      </c>
      <c r="N14" s="60" t="s">
        <v>16</v>
      </c>
      <c r="O14" s="57" t="s">
        <v>15</v>
      </c>
      <c r="P14" s="59" t="s">
        <v>14</v>
      </c>
      <c r="Q14" s="196"/>
      <c r="R14" s="196"/>
      <c r="S14" s="196"/>
    </row>
    <row r="15" spans="1:68" s="224" customFormat="1" x14ac:dyDescent="0.2">
      <c r="A15" s="333"/>
      <c r="B15" s="138"/>
      <c r="C15" s="177" t="str">
        <f>A3</f>
        <v>Metāla konstrukcijas</v>
      </c>
      <c r="D15" s="139"/>
      <c r="E15" s="140"/>
      <c r="F15" s="26"/>
      <c r="G15" s="61"/>
      <c r="H15" s="221"/>
      <c r="I15" s="222"/>
      <c r="J15" s="222"/>
      <c r="K15" s="25"/>
      <c r="L15" s="25"/>
      <c r="M15" s="26"/>
      <c r="N15" s="27"/>
      <c r="O15" s="28"/>
      <c r="P15" s="29"/>
      <c r="Q15" s="195"/>
      <c r="R15" s="195"/>
      <c r="S15" s="195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23"/>
      <c r="AU15" s="223"/>
      <c r="AV15" s="223"/>
      <c r="AW15" s="223"/>
      <c r="AX15" s="223"/>
      <c r="AY15" s="223"/>
      <c r="AZ15" s="223"/>
      <c r="BA15" s="223"/>
      <c r="BB15" s="223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3"/>
    </row>
    <row r="16" spans="1:68" s="230" customFormat="1" ht="22.5" x14ac:dyDescent="0.15">
      <c r="A16" s="225"/>
      <c r="B16" s="226"/>
      <c r="C16" s="178" t="s">
        <v>306</v>
      </c>
      <c r="D16" s="178"/>
      <c r="E16" s="234"/>
      <c r="F16" s="26"/>
      <c r="G16" s="61"/>
      <c r="H16" s="221"/>
      <c r="I16" s="222"/>
      <c r="J16" s="222"/>
      <c r="K16" s="25"/>
      <c r="L16" s="25"/>
      <c r="M16" s="26"/>
      <c r="N16" s="27"/>
      <c r="O16" s="28"/>
      <c r="P16" s="29"/>
      <c r="Q16" s="195"/>
      <c r="R16" s="195"/>
      <c r="S16" s="195"/>
      <c r="T16" s="229"/>
      <c r="U16" s="229"/>
      <c r="V16" s="207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29"/>
      <c r="AS16" s="229"/>
      <c r="AT16" s="229"/>
      <c r="AU16" s="229"/>
      <c r="AV16" s="229"/>
      <c r="AW16" s="229"/>
      <c r="AX16" s="229"/>
      <c r="AY16" s="229"/>
      <c r="AZ16" s="229"/>
      <c r="BA16" s="229"/>
      <c r="BB16" s="229"/>
      <c r="BC16" s="229"/>
      <c r="BD16" s="229"/>
      <c r="BE16" s="229"/>
      <c r="BF16" s="229"/>
      <c r="BG16" s="229"/>
      <c r="BH16" s="229"/>
      <c r="BI16" s="229"/>
      <c r="BJ16" s="229"/>
      <c r="BK16" s="229"/>
      <c r="BL16" s="229"/>
      <c r="BM16" s="229"/>
      <c r="BN16" s="229"/>
      <c r="BO16" s="229"/>
      <c r="BP16" s="229"/>
    </row>
    <row r="17" spans="1:69" s="220" customFormat="1" ht="22.5" x14ac:dyDescent="0.2">
      <c r="A17" s="334" t="s">
        <v>34</v>
      </c>
      <c r="B17" s="182"/>
      <c r="C17" s="120" t="s">
        <v>307</v>
      </c>
      <c r="D17" s="180" t="s">
        <v>51</v>
      </c>
      <c r="E17" s="183">
        <v>27.527999999999999</v>
      </c>
      <c r="F17" s="26"/>
      <c r="G17" s="61"/>
      <c r="H17" s="221"/>
      <c r="I17" s="222"/>
      <c r="J17" s="222"/>
      <c r="K17" s="25"/>
      <c r="L17" s="25"/>
      <c r="M17" s="26"/>
      <c r="N17" s="27"/>
      <c r="O17" s="28"/>
      <c r="P17" s="29"/>
      <c r="Q17" s="195"/>
      <c r="R17" s="195"/>
      <c r="S17" s="195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</row>
    <row r="18" spans="1:69" s="220" customFormat="1" ht="22.5" x14ac:dyDescent="0.2">
      <c r="A18" s="334" t="s">
        <v>35</v>
      </c>
      <c r="B18" s="182"/>
      <c r="C18" s="120" t="s">
        <v>308</v>
      </c>
      <c r="D18" s="180" t="s">
        <v>51</v>
      </c>
      <c r="E18" s="183">
        <f>E17</f>
        <v>27.527999999999999</v>
      </c>
      <c r="F18" s="26"/>
      <c r="G18" s="61"/>
      <c r="H18" s="221"/>
      <c r="I18" s="222"/>
      <c r="J18" s="222"/>
      <c r="K18" s="25"/>
      <c r="L18" s="25"/>
      <c r="M18" s="26"/>
      <c r="N18" s="27"/>
      <c r="O18" s="28"/>
      <c r="P18" s="29"/>
      <c r="Q18" s="195"/>
      <c r="R18" s="195"/>
      <c r="S18" s="195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</row>
    <row r="19" spans="1:69" s="220" customFormat="1" ht="67.5" x14ac:dyDescent="0.2">
      <c r="A19" s="334" t="s">
        <v>36</v>
      </c>
      <c r="B19" s="186"/>
      <c r="C19" s="120" t="s">
        <v>309</v>
      </c>
      <c r="D19" s="180" t="s">
        <v>51</v>
      </c>
      <c r="E19" s="183">
        <f>E18</f>
        <v>27.527999999999999</v>
      </c>
      <c r="F19" s="26"/>
      <c r="G19" s="61"/>
      <c r="H19" s="221"/>
      <c r="I19" s="222"/>
      <c r="J19" s="222"/>
      <c r="K19" s="25"/>
      <c r="L19" s="25"/>
      <c r="M19" s="26"/>
      <c r="N19" s="27"/>
      <c r="O19" s="28"/>
      <c r="P19" s="29"/>
      <c r="Q19" s="195"/>
      <c r="R19" s="195"/>
      <c r="S19" s="195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</row>
    <row r="20" spans="1:69" s="220" customFormat="1" ht="67.5" x14ac:dyDescent="0.2">
      <c r="A20" s="334" t="s">
        <v>38</v>
      </c>
      <c r="B20" s="182"/>
      <c r="C20" s="120" t="s">
        <v>668</v>
      </c>
      <c r="D20" s="180" t="s">
        <v>51</v>
      </c>
      <c r="E20" s="183">
        <f>E19</f>
        <v>27.527999999999999</v>
      </c>
      <c r="F20" s="26"/>
      <c r="G20" s="61"/>
      <c r="H20" s="221"/>
      <c r="I20" s="222"/>
      <c r="J20" s="222"/>
      <c r="K20" s="25"/>
      <c r="L20" s="25"/>
      <c r="M20" s="26"/>
      <c r="N20" s="27"/>
      <c r="O20" s="28"/>
      <c r="P20" s="29"/>
      <c r="Q20" s="195"/>
      <c r="R20" s="195"/>
      <c r="S20" s="195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</row>
    <row r="21" spans="1:69" s="220" customFormat="1" x14ac:dyDescent="0.2">
      <c r="A21" s="334" t="s">
        <v>39</v>
      </c>
      <c r="B21" s="186"/>
      <c r="C21" s="120" t="s">
        <v>310</v>
      </c>
      <c r="D21" s="180" t="s">
        <v>48</v>
      </c>
      <c r="E21" s="183">
        <v>1</v>
      </c>
      <c r="F21" s="26"/>
      <c r="G21" s="61"/>
      <c r="H21" s="221"/>
      <c r="I21" s="222"/>
      <c r="J21" s="222"/>
      <c r="K21" s="25"/>
      <c r="L21" s="25"/>
      <c r="M21" s="26"/>
      <c r="N21" s="27"/>
      <c r="O21" s="28"/>
      <c r="P21" s="29"/>
      <c r="Q21" s="195"/>
      <c r="R21" s="195"/>
      <c r="S21" s="195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</row>
    <row r="22" spans="1:69" s="220" customFormat="1" ht="33.75" x14ac:dyDescent="0.2">
      <c r="A22" s="334" t="s">
        <v>40</v>
      </c>
      <c r="B22" s="182"/>
      <c r="C22" s="120" t="s">
        <v>311</v>
      </c>
      <c r="D22" s="180" t="s">
        <v>48</v>
      </c>
      <c r="E22" s="183">
        <v>1</v>
      </c>
      <c r="F22" s="26"/>
      <c r="G22" s="61"/>
      <c r="H22" s="221"/>
      <c r="I22" s="222"/>
      <c r="J22" s="222"/>
      <c r="K22" s="25"/>
      <c r="L22" s="25"/>
      <c r="M22" s="26"/>
      <c r="N22" s="27"/>
      <c r="O22" s="28"/>
      <c r="P22" s="29"/>
      <c r="Q22" s="195"/>
      <c r="R22" s="195"/>
      <c r="S22" s="195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</row>
    <row r="23" spans="1:69" s="220" customFormat="1" x14ac:dyDescent="0.2">
      <c r="A23" s="225"/>
      <c r="B23" s="226"/>
      <c r="C23" s="178" t="s">
        <v>312</v>
      </c>
      <c r="D23" s="178"/>
      <c r="E23" s="234"/>
      <c r="F23" s="26"/>
      <c r="G23" s="61"/>
      <c r="H23" s="221"/>
      <c r="I23" s="222"/>
      <c r="J23" s="222"/>
      <c r="K23" s="25"/>
      <c r="L23" s="25"/>
      <c r="M23" s="26"/>
      <c r="N23" s="27"/>
      <c r="O23" s="28"/>
      <c r="P23" s="29"/>
      <c r="Q23" s="195"/>
      <c r="R23" s="195"/>
      <c r="S23" s="195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</row>
    <row r="24" spans="1:69" s="220" customFormat="1" x14ac:dyDescent="0.2">
      <c r="A24" s="334" t="s">
        <v>313</v>
      </c>
      <c r="B24" s="182"/>
      <c r="C24" s="120" t="s">
        <v>314</v>
      </c>
      <c r="D24" s="180" t="s">
        <v>51</v>
      </c>
      <c r="E24" s="272">
        <f>E17</f>
        <v>27.527999999999999</v>
      </c>
      <c r="F24" s="26"/>
      <c r="G24" s="61"/>
      <c r="H24" s="221"/>
      <c r="I24" s="222"/>
      <c r="J24" s="222"/>
      <c r="K24" s="25"/>
      <c r="L24" s="25"/>
      <c r="M24" s="26"/>
      <c r="N24" s="27"/>
      <c r="O24" s="28"/>
      <c r="P24" s="29"/>
      <c r="Q24" s="195"/>
      <c r="R24" s="195"/>
      <c r="S24" s="195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</row>
    <row r="25" spans="1:69" s="220" customFormat="1" x14ac:dyDescent="0.2">
      <c r="A25" s="225"/>
      <c r="B25" s="226"/>
      <c r="C25" s="178" t="s">
        <v>315</v>
      </c>
      <c r="D25" s="178"/>
      <c r="E25" s="234"/>
      <c r="F25" s="26"/>
      <c r="G25" s="61"/>
      <c r="H25" s="221"/>
      <c r="I25" s="222"/>
      <c r="J25" s="222"/>
      <c r="K25" s="25"/>
      <c r="L25" s="25"/>
      <c r="M25" s="26"/>
      <c r="N25" s="27"/>
      <c r="O25" s="28"/>
      <c r="P25" s="29"/>
      <c r="Q25" s="195"/>
      <c r="R25" s="195"/>
      <c r="S25" s="195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</row>
    <row r="26" spans="1:69" s="220" customFormat="1" ht="15" thickBot="1" x14ac:dyDescent="0.25">
      <c r="A26" s="334" t="s">
        <v>316</v>
      </c>
      <c r="B26" s="182"/>
      <c r="C26" s="120" t="s">
        <v>317</v>
      </c>
      <c r="D26" s="180" t="s">
        <v>51</v>
      </c>
      <c r="E26" s="272">
        <f>E17</f>
        <v>27.527999999999999</v>
      </c>
      <c r="F26" s="26"/>
      <c r="G26" s="61"/>
      <c r="H26" s="221"/>
      <c r="I26" s="222"/>
      <c r="J26" s="222"/>
      <c r="K26" s="25"/>
      <c r="L26" s="25"/>
      <c r="M26" s="26"/>
      <c r="N26" s="27"/>
      <c r="O26" s="28"/>
      <c r="P26" s="29"/>
      <c r="Q26" s="195"/>
      <c r="R26" s="195"/>
      <c r="S26" s="195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</row>
    <row r="27" spans="1:69" ht="15" customHeight="1" thickBo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2" t="s">
        <v>130</v>
      </c>
      <c r="L27" s="33">
        <f>ROUND(SUM(L15:L26),2)</f>
        <v>0</v>
      </c>
      <c r="M27" s="33">
        <f>ROUND(SUM(M15:M26),2)</f>
        <v>0</v>
      </c>
      <c r="N27" s="34">
        <f>ROUND(SUM(N15:N26),2)</f>
        <v>0</v>
      </c>
      <c r="O27" s="35">
        <f>ROUND(SUM(O15:O26),2)</f>
        <v>0</v>
      </c>
      <c r="P27" s="36">
        <f>ROUND(SUM(P15:P26),2)</f>
        <v>0</v>
      </c>
    </row>
    <row r="28" spans="1:69" ht="34.9" customHeight="1" x14ac:dyDescent="0.2">
      <c r="A28" s="37"/>
      <c r="B28" s="7"/>
      <c r="C28" s="38"/>
      <c r="D28" s="39"/>
      <c r="E28" s="5"/>
      <c r="F28" s="5"/>
      <c r="G28" s="5"/>
      <c r="H28" s="7"/>
      <c r="I28" s="7"/>
      <c r="J28" s="7"/>
      <c r="K28" s="7"/>
      <c r="L28" s="7"/>
      <c r="M28" s="7"/>
      <c r="N28" s="7"/>
      <c r="O28" s="7"/>
      <c r="P28" s="7"/>
    </row>
    <row r="29" spans="1:69" x14ac:dyDescent="0.2">
      <c r="A29" s="40"/>
      <c r="B29" s="41"/>
      <c r="C29" s="41" t="s">
        <v>10</v>
      </c>
      <c r="D29" s="42"/>
      <c r="E29" s="43"/>
      <c r="F29" s="44"/>
      <c r="G29" s="42"/>
      <c r="H29" s="45">
        <f>Kopsavilkums!C$43</f>
        <v>0</v>
      </c>
      <c r="I29" s="46" t="str">
        <f>Kopsavilkums!D$43</f>
        <v>datums</v>
      </c>
      <c r="J29" s="46"/>
      <c r="K29" s="41" t="s">
        <v>11</v>
      </c>
      <c r="L29" s="47"/>
      <c r="M29" s="44"/>
      <c r="N29" s="44"/>
      <c r="O29" s="45">
        <f>Kopsavilkums!C$48</f>
        <v>0</v>
      </c>
      <c r="P29" s="46" t="str">
        <f>Kopsavilkums!D$48</f>
        <v>datums</v>
      </c>
    </row>
    <row r="30" spans="1:69" x14ac:dyDescent="0.2">
      <c r="A30" s="48"/>
      <c r="B30" s="49"/>
      <c r="C30" s="50"/>
      <c r="D30" s="407" t="s">
        <v>12</v>
      </c>
      <c r="E30" s="407"/>
      <c r="F30" s="407"/>
      <c r="G30" s="407"/>
      <c r="H30" s="407"/>
      <c r="I30" s="7"/>
      <c r="J30" s="7"/>
      <c r="K30" s="7"/>
      <c r="L30" s="407" t="s">
        <v>12</v>
      </c>
      <c r="M30" s="407"/>
      <c r="N30" s="407"/>
      <c r="O30" s="407"/>
      <c r="P30" s="7"/>
    </row>
    <row r="31" spans="1:69" s="54" customFormat="1" x14ac:dyDescent="0.2">
      <c r="A31" s="37"/>
      <c r="B31" s="7"/>
      <c r="C31" s="38"/>
      <c r="D31" s="5"/>
      <c r="E31" s="5"/>
      <c r="F31" s="5"/>
      <c r="G31" s="5"/>
      <c r="H31" s="7"/>
      <c r="I31" s="7"/>
      <c r="J31" s="7"/>
      <c r="K31" s="7"/>
      <c r="L31" s="7"/>
      <c r="M31" s="7"/>
      <c r="N31" s="7"/>
      <c r="O31" s="7"/>
      <c r="P31" s="7"/>
      <c r="Q31" s="195"/>
      <c r="R31" s="195"/>
      <c r="S31" s="195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BO31" s="4"/>
      <c r="BP31" s="4"/>
      <c r="BQ31" s="4"/>
    </row>
    <row r="32" spans="1:69" s="54" customFormat="1" x14ac:dyDescent="0.2">
      <c r="A32" s="51"/>
      <c r="B32" s="46"/>
      <c r="C32" s="52"/>
      <c r="D32" s="52" t="str">
        <f>Kopsavilkums!B$46</f>
        <v>-</v>
      </c>
      <c r="E32" s="5"/>
      <c r="F32" s="5"/>
      <c r="G32" s="5"/>
      <c r="H32" s="7"/>
      <c r="I32" s="7"/>
      <c r="J32" s="7"/>
      <c r="K32" s="7"/>
      <c r="L32" s="52" t="str">
        <f>Kopsavilkums!B$51</f>
        <v>Sert.Nr.</v>
      </c>
      <c r="M32" s="53"/>
      <c r="N32" s="7"/>
      <c r="O32" s="7"/>
      <c r="P32" s="7"/>
      <c r="Q32" s="195"/>
      <c r="R32" s="195"/>
      <c r="S32" s="195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BO32" s="4"/>
      <c r="BP32" s="4"/>
      <c r="BQ32" s="4"/>
    </row>
    <row r="33" spans="17:45" s="54" customFormat="1" x14ac:dyDescent="0.25">
      <c r="Q33" s="195"/>
      <c r="R33" s="195"/>
      <c r="S33" s="195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</row>
    <row r="34" spans="17:45" s="54" customFormat="1" x14ac:dyDescent="0.25">
      <c r="Q34" s="195"/>
      <c r="R34" s="195"/>
      <c r="S34" s="195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</row>
    <row r="35" spans="17:45" s="54" customFormat="1" x14ac:dyDescent="0.25">
      <c r="Q35" s="195"/>
      <c r="R35" s="195"/>
      <c r="S35" s="195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</row>
    <row r="36" spans="17:45" s="54" customFormat="1" x14ac:dyDescent="0.25">
      <c r="Q36" s="195"/>
      <c r="R36" s="195"/>
      <c r="S36" s="195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</row>
    <row r="37" spans="17:45" s="54" customFormat="1" x14ac:dyDescent="0.25">
      <c r="Q37" s="195"/>
      <c r="R37" s="195"/>
      <c r="S37" s="195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</row>
    <row r="38" spans="17:45" s="54" customFormat="1" x14ac:dyDescent="0.25">
      <c r="Q38" s="195"/>
      <c r="R38" s="195"/>
      <c r="S38" s="195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</row>
    <row r="39" spans="17:45" s="54" customFormat="1" x14ac:dyDescent="0.25">
      <c r="Q39" s="195"/>
      <c r="R39" s="195"/>
      <c r="S39" s="195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</row>
    <row r="40" spans="17:45" s="54" customFormat="1" x14ac:dyDescent="0.25">
      <c r="Q40" s="195"/>
      <c r="R40" s="195"/>
      <c r="S40" s="195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</row>
    <row r="41" spans="17:45" s="54" customFormat="1" x14ac:dyDescent="0.25">
      <c r="Q41" s="195"/>
      <c r="R41" s="195"/>
      <c r="S41" s="195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</row>
    <row r="42" spans="17:45" s="54" customFormat="1" x14ac:dyDescent="0.25">
      <c r="Q42" s="195"/>
      <c r="R42" s="195"/>
      <c r="S42" s="195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</row>
    <row r="43" spans="17:45" s="54" customFormat="1" x14ac:dyDescent="0.25">
      <c r="Q43" s="195"/>
      <c r="R43" s="195"/>
      <c r="S43" s="195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</row>
    <row r="44" spans="17:45" s="54" customFormat="1" x14ac:dyDescent="0.25">
      <c r="Q44" s="195"/>
      <c r="R44" s="195"/>
      <c r="S44" s="195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</row>
    <row r="45" spans="17:45" s="54" customFormat="1" x14ac:dyDescent="0.25">
      <c r="Q45" s="195"/>
      <c r="R45" s="195"/>
      <c r="S45" s="195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</row>
    <row r="46" spans="17:45" s="54" customFormat="1" x14ac:dyDescent="0.25">
      <c r="Q46" s="195"/>
      <c r="R46" s="195"/>
      <c r="S46" s="195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</row>
    <row r="47" spans="17:45" s="54" customFormat="1" x14ac:dyDescent="0.25">
      <c r="Q47" s="195"/>
      <c r="R47" s="195"/>
      <c r="S47" s="195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</row>
    <row r="48" spans="17:45" s="54" customFormat="1" x14ac:dyDescent="0.25">
      <c r="Q48" s="195"/>
      <c r="R48" s="195"/>
      <c r="S48" s="195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</row>
    <row r="49" spans="17:45" s="54" customFormat="1" x14ac:dyDescent="0.25">
      <c r="Q49" s="195"/>
      <c r="R49" s="195"/>
      <c r="S49" s="195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</row>
    <row r="50" spans="17:45" s="54" customFormat="1" x14ac:dyDescent="0.25">
      <c r="Q50" s="195"/>
      <c r="R50" s="195"/>
      <c r="S50" s="195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</row>
    <row r="51" spans="17:45" s="54" customFormat="1" x14ac:dyDescent="0.25">
      <c r="Q51" s="195"/>
      <c r="R51" s="195"/>
      <c r="S51" s="195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</row>
    <row r="52" spans="17:45" s="54" customFormat="1" x14ac:dyDescent="0.25">
      <c r="Q52" s="195"/>
      <c r="R52" s="195"/>
      <c r="S52" s="195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</row>
    <row r="53" spans="17:45" s="54" customFormat="1" x14ac:dyDescent="0.25">
      <c r="Q53" s="195"/>
      <c r="R53" s="195"/>
      <c r="S53" s="195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</row>
    <row r="54" spans="17:45" s="54" customFormat="1" x14ac:dyDescent="0.25">
      <c r="Q54" s="195"/>
      <c r="R54" s="195"/>
      <c r="S54" s="195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</row>
    <row r="55" spans="17:45" s="54" customFormat="1" x14ac:dyDescent="0.25">
      <c r="Q55" s="195"/>
      <c r="R55" s="195"/>
      <c r="S55" s="195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</row>
    <row r="56" spans="17:45" s="54" customFormat="1" x14ac:dyDescent="0.25">
      <c r="Q56" s="195"/>
      <c r="R56" s="195"/>
      <c r="S56" s="195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</row>
    <row r="57" spans="17:45" s="54" customFormat="1" x14ac:dyDescent="0.25">
      <c r="Q57" s="195"/>
      <c r="R57" s="195"/>
      <c r="S57" s="195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</row>
    <row r="58" spans="17:45" s="54" customFormat="1" x14ac:dyDescent="0.25">
      <c r="Q58" s="195"/>
      <c r="R58" s="195"/>
      <c r="S58" s="195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</row>
    <row r="59" spans="17:45" s="54" customFormat="1" x14ac:dyDescent="0.25">
      <c r="Q59" s="195"/>
      <c r="R59" s="195"/>
      <c r="S59" s="195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</row>
    <row r="60" spans="17:45" s="54" customFormat="1" x14ac:dyDescent="0.25">
      <c r="Q60" s="195"/>
      <c r="R60" s="195"/>
      <c r="S60" s="195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</row>
    <row r="61" spans="17:45" s="54" customFormat="1" x14ac:dyDescent="0.25">
      <c r="Q61" s="195"/>
      <c r="R61" s="195"/>
      <c r="S61" s="195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</row>
    <row r="62" spans="17:45" s="54" customFormat="1" x14ac:dyDescent="0.25">
      <c r="Q62" s="195"/>
      <c r="R62" s="195"/>
      <c r="S62" s="195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</row>
    <row r="63" spans="17:45" s="54" customFormat="1" x14ac:dyDescent="0.25">
      <c r="Q63" s="195"/>
      <c r="R63" s="195"/>
      <c r="S63" s="195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</row>
    <row r="64" spans="17:45" s="54" customFormat="1" x14ac:dyDescent="0.25">
      <c r="Q64" s="195"/>
      <c r="R64" s="195"/>
      <c r="S64" s="195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</row>
    <row r="65" spans="17:45" s="54" customFormat="1" x14ac:dyDescent="0.25">
      <c r="Q65" s="195"/>
      <c r="R65" s="195"/>
      <c r="S65" s="195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</row>
    <row r="66" spans="17:45" s="54" customFormat="1" x14ac:dyDescent="0.25">
      <c r="Q66" s="195"/>
      <c r="R66" s="195"/>
      <c r="S66" s="195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</row>
    <row r="67" spans="17:45" s="54" customFormat="1" x14ac:dyDescent="0.25">
      <c r="Q67" s="195"/>
      <c r="R67" s="195"/>
      <c r="S67" s="195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</row>
    <row r="68" spans="17:45" s="54" customFormat="1" x14ac:dyDescent="0.25">
      <c r="Q68" s="195"/>
      <c r="R68" s="195"/>
      <c r="S68" s="195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</row>
    <row r="69" spans="17:45" s="54" customFormat="1" x14ac:dyDescent="0.25">
      <c r="Q69" s="195"/>
      <c r="R69" s="195"/>
      <c r="S69" s="195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</row>
    <row r="70" spans="17:45" s="54" customFormat="1" x14ac:dyDescent="0.25">
      <c r="Q70" s="195"/>
      <c r="R70" s="195"/>
      <c r="S70" s="195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</row>
    <row r="71" spans="17:45" s="54" customFormat="1" x14ac:dyDescent="0.25">
      <c r="Q71" s="195"/>
      <c r="R71" s="195"/>
      <c r="S71" s="195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</row>
    <row r="72" spans="17:45" s="54" customFormat="1" x14ac:dyDescent="0.25">
      <c r="Q72" s="195"/>
      <c r="R72" s="195"/>
      <c r="S72" s="195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</row>
    <row r="73" spans="17:45" s="54" customFormat="1" x14ac:dyDescent="0.25">
      <c r="Q73" s="195"/>
      <c r="R73" s="195"/>
      <c r="S73" s="195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</row>
    <row r="74" spans="17:45" s="54" customFormat="1" x14ac:dyDescent="0.25">
      <c r="Q74" s="195"/>
      <c r="R74" s="195"/>
      <c r="S74" s="195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</row>
    <row r="75" spans="17:45" s="54" customFormat="1" x14ac:dyDescent="0.25">
      <c r="Q75" s="195"/>
      <c r="R75" s="195"/>
      <c r="S75" s="195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</row>
    <row r="76" spans="17:45" s="54" customFormat="1" x14ac:dyDescent="0.25">
      <c r="Q76" s="195"/>
      <c r="R76" s="195"/>
      <c r="S76" s="195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</row>
    <row r="77" spans="17:45" s="54" customFormat="1" x14ac:dyDescent="0.25">
      <c r="Q77" s="195"/>
      <c r="R77" s="195"/>
      <c r="S77" s="195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</row>
    <row r="78" spans="17:45" s="54" customFormat="1" x14ac:dyDescent="0.25">
      <c r="Q78" s="195"/>
      <c r="R78" s="195"/>
      <c r="S78" s="195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</row>
    <row r="79" spans="17:45" s="54" customFormat="1" x14ac:dyDescent="0.25">
      <c r="Q79" s="195"/>
      <c r="R79" s="195"/>
      <c r="S79" s="195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</row>
    <row r="80" spans="17:45" s="54" customFormat="1" x14ac:dyDescent="0.25">
      <c r="Q80" s="195"/>
      <c r="R80" s="195"/>
      <c r="S80" s="195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</row>
    <row r="81" spans="17:45" s="54" customFormat="1" x14ac:dyDescent="0.25">
      <c r="Q81" s="195"/>
      <c r="R81" s="195"/>
      <c r="S81" s="195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</row>
    <row r="82" spans="17:45" s="54" customFormat="1" x14ac:dyDescent="0.25">
      <c r="Q82" s="195"/>
      <c r="R82" s="195"/>
      <c r="S82" s="195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</row>
    <row r="83" spans="17:45" s="54" customFormat="1" x14ac:dyDescent="0.25">
      <c r="Q83" s="195"/>
      <c r="R83" s="195"/>
      <c r="S83" s="195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</row>
    <row r="84" spans="17:45" s="54" customFormat="1" x14ac:dyDescent="0.25">
      <c r="Q84" s="195"/>
      <c r="R84" s="195"/>
      <c r="S84" s="195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</row>
    <row r="85" spans="17:45" s="54" customFormat="1" x14ac:dyDescent="0.25">
      <c r="Q85" s="195"/>
      <c r="R85" s="195"/>
      <c r="S85" s="195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</row>
    <row r="86" spans="17:45" s="54" customFormat="1" x14ac:dyDescent="0.25">
      <c r="Q86" s="195"/>
      <c r="R86" s="195"/>
      <c r="S86" s="195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</row>
    <row r="87" spans="17:45" s="54" customFormat="1" x14ac:dyDescent="0.25">
      <c r="Q87" s="195"/>
      <c r="R87" s="195"/>
      <c r="S87" s="195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</row>
    <row r="88" spans="17:45" s="54" customFormat="1" x14ac:dyDescent="0.25">
      <c r="Q88" s="195"/>
      <c r="R88" s="195"/>
      <c r="S88" s="195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</row>
    <row r="89" spans="17:45" s="54" customFormat="1" x14ac:dyDescent="0.25">
      <c r="Q89" s="195"/>
      <c r="R89" s="195"/>
      <c r="S89" s="195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</row>
    <row r="90" spans="17:45" s="54" customFormat="1" x14ac:dyDescent="0.25">
      <c r="Q90" s="195"/>
      <c r="R90" s="195"/>
      <c r="S90" s="195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</row>
    <row r="91" spans="17:45" s="54" customFormat="1" x14ac:dyDescent="0.25">
      <c r="Q91" s="195"/>
      <c r="R91" s="195"/>
      <c r="S91" s="195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</row>
    <row r="92" spans="17:45" s="54" customFormat="1" x14ac:dyDescent="0.25">
      <c r="Q92" s="195"/>
      <c r="R92" s="195"/>
      <c r="S92" s="195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</row>
    <row r="93" spans="17:45" s="54" customFormat="1" x14ac:dyDescent="0.25">
      <c r="Q93" s="195"/>
      <c r="R93" s="195"/>
      <c r="S93" s="195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</row>
    <row r="94" spans="17:45" s="54" customFormat="1" x14ac:dyDescent="0.25">
      <c r="Q94" s="195"/>
      <c r="R94" s="195"/>
      <c r="S94" s="195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</row>
    <row r="95" spans="17:45" s="54" customFormat="1" x14ac:dyDescent="0.25">
      <c r="Q95" s="195"/>
      <c r="R95" s="195"/>
      <c r="S95" s="195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</row>
    <row r="96" spans="17:45" s="54" customFormat="1" x14ac:dyDescent="0.25">
      <c r="Q96" s="195"/>
      <c r="R96" s="195"/>
      <c r="S96" s="195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</row>
    <row r="97" spans="17:45" s="54" customFormat="1" x14ac:dyDescent="0.25">
      <c r="Q97" s="195"/>
      <c r="R97" s="195"/>
      <c r="S97" s="195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</row>
    <row r="98" spans="17:45" s="54" customFormat="1" x14ac:dyDescent="0.25">
      <c r="Q98" s="195"/>
      <c r="R98" s="195"/>
      <c r="S98" s="195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</row>
    <row r="99" spans="17:45" s="54" customFormat="1" x14ac:dyDescent="0.25">
      <c r="Q99" s="195"/>
      <c r="R99" s="195"/>
      <c r="S99" s="195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</row>
    <row r="100" spans="17:45" s="54" customFormat="1" x14ac:dyDescent="0.25">
      <c r="Q100" s="195"/>
      <c r="R100" s="195"/>
      <c r="S100" s="195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</row>
    <row r="101" spans="17:45" s="54" customFormat="1" x14ac:dyDescent="0.25">
      <c r="Q101" s="195"/>
      <c r="R101" s="195"/>
      <c r="S101" s="195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</row>
    <row r="102" spans="17:45" s="54" customFormat="1" x14ac:dyDescent="0.25">
      <c r="Q102" s="195"/>
      <c r="R102" s="195"/>
      <c r="S102" s="195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</row>
    <row r="103" spans="17:45" s="54" customFormat="1" x14ac:dyDescent="0.25">
      <c r="Q103" s="195"/>
      <c r="R103" s="195"/>
      <c r="S103" s="195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</row>
    <row r="104" spans="17:45" s="54" customFormat="1" x14ac:dyDescent="0.25">
      <c r="Q104" s="195"/>
      <c r="R104" s="195"/>
      <c r="S104" s="195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</row>
    <row r="105" spans="17:45" s="54" customFormat="1" x14ac:dyDescent="0.25">
      <c r="Q105" s="195"/>
      <c r="R105" s="195"/>
      <c r="S105" s="195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</row>
    <row r="106" spans="17:45" s="54" customFormat="1" x14ac:dyDescent="0.25">
      <c r="Q106" s="195"/>
      <c r="R106" s="195"/>
      <c r="S106" s="195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</row>
    <row r="107" spans="17:45" s="54" customFormat="1" x14ac:dyDescent="0.25">
      <c r="Q107" s="195"/>
      <c r="R107" s="195"/>
      <c r="S107" s="195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</row>
    <row r="108" spans="17:45" s="54" customFormat="1" x14ac:dyDescent="0.25">
      <c r="Q108" s="195"/>
      <c r="R108" s="195"/>
      <c r="S108" s="195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</row>
    <row r="109" spans="17:45" s="54" customFormat="1" x14ac:dyDescent="0.25">
      <c r="Q109" s="195"/>
      <c r="R109" s="195"/>
      <c r="S109" s="195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</row>
    <row r="110" spans="17:45" s="54" customFormat="1" x14ac:dyDescent="0.25">
      <c r="Q110" s="195"/>
      <c r="R110" s="195"/>
      <c r="S110" s="195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</row>
    <row r="111" spans="17:45" s="54" customFormat="1" x14ac:dyDescent="0.25">
      <c r="Q111" s="195"/>
      <c r="R111" s="195"/>
      <c r="S111" s="195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</row>
    <row r="112" spans="17:45" s="54" customFormat="1" x14ac:dyDescent="0.25">
      <c r="Q112" s="195"/>
      <c r="R112" s="195"/>
      <c r="S112" s="195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</row>
    <row r="113" spans="17:45" s="54" customFormat="1" x14ac:dyDescent="0.25">
      <c r="Q113" s="195"/>
      <c r="R113" s="195"/>
      <c r="S113" s="195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</row>
    <row r="114" spans="17:45" s="54" customFormat="1" x14ac:dyDescent="0.25">
      <c r="Q114" s="195"/>
      <c r="R114" s="195"/>
      <c r="S114" s="195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</row>
    <row r="115" spans="17:45" s="54" customFormat="1" x14ac:dyDescent="0.25">
      <c r="Q115" s="195"/>
      <c r="R115" s="195"/>
      <c r="S115" s="195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</row>
    <row r="116" spans="17:45" s="54" customFormat="1" x14ac:dyDescent="0.25">
      <c r="Q116" s="195"/>
      <c r="R116" s="195"/>
      <c r="S116" s="195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</row>
    <row r="117" spans="17:45" s="54" customFormat="1" x14ac:dyDescent="0.25">
      <c r="Q117" s="195"/>
      <c r="R117" s="195"/>
      <c r="S117" s="195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</row>
    <row r="118" spans="17:45" s="54" customFormat="1" x14ac:dyDescent="0.25">
      <c r="Q118" s="195"/>
      <c r="R118" s="195"/>
      <c r="S118" s="195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</row>
    <row r="119" spans="17:45" s="54" customFormat="1" x14ac:dyDescent="0.25">
      <c r="Q119" s="195"/>
      <c r="R119" s="195"/>
      <c r="S119" s="195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</row>
    <row r="120" spans="17:45" s="54" customFormat="1" x14ac:dyDescent="0.25">
      <c r="Q120" s="195"/>
      <c r="R120" s="195"/>
      <c r="S120" s="195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</row>
    <row r="121" spans="17:45" s="54" customFormat="1" x14ac:dyDescent="0.25">
      <c r="Q121" s="195"/>
      <c r="R121" s="195"/>
      <c r="S121" s="195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</row>
    <row r="122" spans="17:45" s="54" customFormat="1" x14ac:dyDescent="0.25">
      <c r="Q122" s="195"/>
      <c r="R122" s="195"/>
      <c r="S122" s="195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</row>
    <row r="123" spans="17:45" s="54" customFormat="1" x14ac:dyDescent="0.25">
      <c r="Q123" s="195"/>
      <c r="R123" s="195"/>
      <c r="S123" s="195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</row>
    <row r="124" spans="17:45" s="54" customFormat="1" x14ac:dyDescent="0.25">
      <c r="Q124" s="195"/>
      <c r="R124" s="195"/>
      <c r="S124" s="195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</row>
    <row r="125" spans="17:45" s="54" customFormat="1" x14ac:dyDescent="0.25">
      <c r="Q125" s="195"/>
      <c r="R125" s="195"/>
      <c r="S125" s="195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</row>
    <row r="126" spans="17:45" s="54" customFormat="1" x14ac:dyDescent="0.25">
      <c r="Q126" s="195"/>
      <c r="R126" s="195"/>
      <c r="S126" s="195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</row>
    <row r="127" spans="17:45" s="54" customFormat="1" x14ac:dyDescent="0.25">
      <c r="Q127" s="195"/>
      <c r="R127" s="195"/>
      <c r="S127" s="195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</row>
    <row r="128" spans="17:45" s="54" customFormat="1" x14ac:dyDescent="0.25">
      <c r="Q128" s="195"/>
      <c r="R128" s="195"/>
      <c r="S128" s="195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</row>
    <row r="129" spans="17:45" s="54" customFormat="1" x14ac:dyDescent="0.25">
      <c r="Q129" s="195"/>
      <c r="R129" s="195"/>
      <c r="S129" s="195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</row>
    <row r="130" spans="17:45" s="54" customFormat="1" x14ac:dyDescent="0.25">
      <c r="Q130" s="195"/>
      <c r="R130" s="195"/>
      <c r="S130" s="195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</row>
    <row r="131" spans="17:45" s="54" customFormat="1" x14ac:dyDescent="0.25">
      <c r="Q131" s="195"/>
      <c r="R131" s="195"/>
      <c r="S131" s="195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</row>
    <row r="132" spans="17:45" s="54" customFormat="1" x14ac:dyDescent="0.25">
      <c r="Q132" s="195"/>
      <c r="R132" s="195"/>
      <c r="S132" s="195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</row>
    <row r="133" spans="17:45" s="54" customFormat="1" x14ac:dyDescent="0.25">
      <c r="Q133" s="195"/>
      <c r="R133" s="195"/>
      <c r="S133" s="195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</row>
    <row r="134" spans="17:45" s="54" customFormat="1" x14ac:dyDescent="0.25">
      <c r="Q134" s="195"/>
      <c r="R134" s="195"/>
      <c r="S134" s="195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</row>
    <row r="135" spans="17:45" s="54" customFormat="1" x14ac:dyDescent="0.25">
      <c r="Q135" s="195"/>
      <c r="R135" s="195"/>
      <c r="S135" s="195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</row>
    <row r="136" spans="17:45" s="54" customFormat="1" x14ac:dyDescent="0.25">
      <c r="Q136" s="195"/>
      <c r="R136" s="195"/>
      <c r="S136" s="195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</row>
    <row r="137" spans="17:45" s="54" customFormat="1" x14ac:dyDescent="0.25">
      <c r="Q137" s="195"/>
      <c r="R137" s="195"/>
      <c r="S137" s="195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</row>
    <row r="138" spans="17:45" s="54" customFormat="1" x14ac:dyDescent="0.25">
      <c r="Q138" s="195"/>
      <c r="R138" s="195"/>
      <c r="S138" s="195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</row>
    <row r="139" spans="17:45" s="54" customFormat="1" x14ac:dyDescent="0.25">
      <c r="Q139" s="195"/>
      <c r="R139" s="195"/>
      <c r="S139" s="195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</row>
    <row r="140" spans="17:45" s="54" customFormat="1" x14ac:dyDescent="0.25">
      <c r="Q140" s="195"/>
      <c r="R140" s="195"/>
      <c r="S140" s="195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</row>
    <row r="141" spans="17:45" s="54" customFormat="1" x14ac:dyDescent="0.25">
      <c r="Q141" s="195"/>
      <c r="R141" s="195"/>
      <c r="S141" s="195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</row>
    <row r="142" spans="17:45" s="54" customFormat="1" x14ac:dyDescent="0.25">
      <c r="Q142" s="195"/>
      <c r="R142" s="195"/>
      <c r="S142" s="195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</row>
    <row r="143" spans="17:45" s="54" customFormat="1" x14ac:dyDescent="0.25">
      <c r="Q143" s="195"/>
      <c r="R143" s="195"/>
      <c r="S143" s="195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</row>
    <row r="144" spans="17:45" s="54" customFormat="1" x14ac:dyDescent="0.25">
      <c r="Q144" s="195"/>
      <c r="R144" s="195"/>
      <c r="S144" s="195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</row>
    <row r="145" spans="17:45" s="54" customFormat="1" x14ac:dyDescent="0.25">
      <c r="Q145" s="195"/>
      <c r="R145" s="195"/>
      <c r="S145" s="195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</row>
    <row r="146" spans="17:45" s="54" customFormat="1" x14ac:dyDescent="0.25">
      <c r="Q146" s="195"/>
      <c r="R146" s="195"/>
      <c r="S146" s="195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</row>
    <row r="147" spans="17:45" s="54" customFormat="1" x14ac:dyDescent="0.25">
      <c r="Q147" s="195"/>
      <c r="R147" s="195"/>
      <c r="S147" s="195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</row>
    <row r="148" spans="17:45" s="54" customFormat="1" x14ac:dyDescent="0.25">
      <c r="Q148" s="195"/>
      <c r="R148" s="195"/>
      <c r="S148" s="195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</row>
    <row r="149" spans="17:45" s="54" customFormat="1" x14ac:dyDescent="0.25">
      <c r="Q149" s="195"/>
      <c r="R149" s="195"/>
      <c r="S149" s="195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</row>
    <row r="150" spans="17:45" s="54" customFormat="1" x14ac:dyDescent="0.25">
      <c r="Q150" s="195"/>
      <c r="R150" s="195"/>
      <c r="S150" s="195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</row>
    <row r="151" spans="17:45" s="54" customFormat="1" x14ac:dyDescent="0.25">
      <c r="Q151" s="195"/>
      <c r="R151" s="195"/>
      <c r="S151" s="195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</row>
    <row r="152" spans="17:45" s="54" customFormat="1" x14ac:dyDescent="0.25">
      <c r="Q152" s="195"/>
      <c r="R152" s="195"/>
      <c r="S152" s="195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</row>
    <row r="153" spans="17:45" s="54" customFormat="1" x14ac:dyDescent="0.25">
      <c r="Q153" s="195"/>
      <c r="R153" s="195"/>
      <c r="S153" s="195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</row>
    <row r="154" spans="17:45" s="54" customFormat="1" x14ac:dyDescent="0.25">
      <c r="Q154" s="195"/>
      <c r="R154" s="195"/>
      <c r="S154" s="195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</row>
    <row r="155" spans="17:45" s="54" customFormat="1" x14ac:dyDescent="0.25">
      <c r="Q155" s="195"/>
      <c r="R155" s="195"/>
      <c r="S155" s="195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</row>
    <row r="156" spans="17:45" s="54" customFormat="1" x14ac:dyDescent="0.25">
      <c r="Q156" s="195"/>
      <c r="R156" s="195"/>
      <c r="S156" s="195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</row>
    <row r="157" spans="17:45" s="54" customFormat="1" x14ac:dyDescent="0.25">
      <c r="Q157" s="195"/>
      <c r="R157" s="195"/>
      <c r="S157" s="195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</row>
    <row r="158" spans="17:45" s="54" customFormat="1" x14ac:dyDescent="0.25">
      <c r="Q158" s="195"/>
      <c r="R158" s="195"/>
      <c r="S158" s="195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</row>
    <row r="159" spans="17:45" s="54" customFormat="1" x14ac:dyDescent="0.25">
      <c r="Q159" s="195"/>
      <c r="R159" s="195"/>
      <c r="S159" s="195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</row>
    <row r="160" spans="17:45" s="54" customFormat="1" x14ac:dyDescent="0.25">
      <c r="Q160" s="195"/>
      <c r="R160" s="195"/>
      <c r="S160" s="195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</row>
    <row r="161" spans="17:45" s="54" customFormat="1" x14ac:dyDescent="0.25">
      <c r="Q161" s="195"/>
      <c r="R161" s="195"/>
      <c r="S161" s="195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</row>
    <row r="162" spans="17:45" s="54" customFormat="1" x14ac:dyDescent="0.25">
      <c r="Q162" s="195"/>
      <c r="R162" s="195"/>
      <c r="S162" s="195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</row>
    <row r="163" spans="17:45" s="54" customFormat="1" x14ac:dyDescent="0.25">
      <c r="Q163" s="195"/>
      <c r="R163" s="195"/>
      <c r="S163" s="195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</row>
    <row r="164" spans="17:45" s="54" customFormat="1" x14ac:dyDescent="0.25">
      <c r="Q164" s="195"/>
      <c r="R164" s="195"/>
      <c r="S164" s="195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</row>
    <row r="165" spans="17:45" s="54" customFormat="1" x14ac:dyDescent="0.25">
      <c r="Q165" s="195"/>
      <c r="R165" s="195"/>
      <c r="S165" s="195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</row>
    <row r="166" spans="17:45" s="54" customFormat="1" x14ac:dyDescent="0.25">
      <c r="Q166" s="195"/>
      <c r="R166" s="195"/>
      <c r="S166" s="195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</row>
    <row r="167" spans="17:45" s="54" customFormat="1" x14ac:dyDescent="0.25">
      <c r="Q167" s="195"/>
      <c r="R167" s="195"/>
      <c r="S167" s="195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</row>
    <row r="168" spans="17:45" s="54" customFormat="1" x14ac:dyDescent="0.25">
      <c r="Q168" s="195"/>
      <c r="R168" s="195"/>
      <c r="S168" s="195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</row>
    <row r="169" spans="17:45" s="54" customFormat="1" x14ac:dyDescent="0.25">
      <c r="Q169" s="195"/>
      <c r="R169" s="195"/>
      <c r="S169" s="195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</row>
    <row r="170" spans="17:45" s="54" customFormat="1" x14ac:dyDescent="0.25">
      <c r="Q170" s="195"/>
      <c r="R170" s="195"/>
      <c r="S170" s="195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</row>
    <row r="171" spans="17:45" s="54" customFormat="1" x14ac:dyDescent="0.25">
      <c r="Q171" s="195"/>
      <c r="R171" s="195"/>
      <c r="S171" s="195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</row>
    <row r="172" spans="17:45" s="54" customFormat="1" x14ac:dyDescent="0.25">
      <c r="Q172" s="195"/>
      <c r="R172" s="195"/>
      <c r="S172" s="195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</row>
    <row r="173" spans="17:45" s="54" customFormat="1" x14ac:dyDescent="0.25">
      <c r="Q173" s="195"/>
      <c r="R173" s="195"/>
      <c r="S173" s="195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</row>
    <row r="174" spans="17:45" s="54" customFormat="1" x14ac:dyDescent="0.25">
      <c r="Q174" s="195"/>
      <c r="R174" s="195"/>
      <c r="S174" s="195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</row>
    <row r="175" spans="17:45" s="54" customFormat="1" x14ac:dyDescent="0.25">
      <c r="Q175" s="195"/>
      <c r="R175" s="195"/>
      <c r="S175" s="195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</row>
    <row r="176" spans="17:45" s="54" customFormat="1" x14ac:dyDescent="0.25">
      <c r="Q176" s="195"/>
      <c r="R176" s="195"/>
      <c r="S176" s="195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</row>
    <row r="177" spans="17:45" s="54" customFormat="1" x14ac:dyDescent="0.25">
      <c r="Q177" s="195"/>
      <c r="R177" s="195"/>
      <c r="S177" s="195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</row>
    <row r="178" spans="17:45" s="54" customFormat="1" x14ac:dyDescent="0.25">
      <c r="Q178" s="195"/>
      <c r="R178" s="195"/>
      <c r="S178" s="195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</row>
    <row r="179" spans="17:45" s="54" customFormat="1" x14ac:dyDescent="0.25">
      <c r="Q179" s="195"/>
      <c r="R179" s="195"/>
      <c r="S179" s="195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</row>
    <row r="180" spans="17:45" s="54" customFormat="1" x14ac:dyDescent="0.25">
      <c r="Q180" s="195"/>
      <c r="R180" s="195"/>
      <c r="S180" s="195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</row>
    <row r="181" spans="17:45" s="54" customFormat="1" x14ac:dyDescent="0.25">
      <c r="Q181" s="195"/>
      <c r="R181" s="195"/>
      <c r="S181" s="195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</row>
    <row r="182" spans="17:45" s="54" customFormat="1" x14ac:dyDescent="0.25">
      <c r="Q182" s="195"/>
      <c r="R182" s="195"/>
      <c r="S182" s="195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</row>
    <row r="183" spans="17:45" s="54" customFormat="1" x14ac:dyDescent="0.25">
      <c r="Q183" s="195"/>
      <c r="R183" s="195"/>
      <c r="S183" s="195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</row>
    <row r="184" spans="17:45" s="54" customFormat="1" x14ac:dyDescent="0.25">
      <c r="Q184" s="195"/>
      <c r="R184" s="195"/>
      <c r="S184" s="195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</row>
    <row r="185" spans="17:45" s="54" customFormat="1" x14ac:dyDescent="0.25">
      <c r="Q185" s="195"/>
      <c r="R185" s="195"/>
      <c r="S185" s="195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</row>
    <row r="186" spans="17:45" s="54" customFormat="1" x14ac:dyDescent="0.25">
      <c r="Q186" s="195"/>
      <c r="R186" s="195"/>
      <c r="S186" s="195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</row>
    <row r="187" spans="17:45" s="54" customFormat="1" x14ac:dyDescent="0.25">
      <c r="Q187" s="195"/>
      <c r="R187" s="195"/>
      <c r="S187" s="195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</row>
    <row r="188" spans="17:45" s="54" customFormat="1" x14ac:dyDescent="0.25">
      <c r="Q188" s="195"/>
      <c r="R188" s="195"/>
      <c r="S188" s="195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</row>
    <row r="189" spans="17:45" s="54" customFormat="1" x14ac:dyDescent="0.25">
      <c r="Q189" s="195"/>
      <c r="R189" s="195"/>
      <c r="S189" s="195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</row>
    <row r="190" spans="17:45" s="54" customFormat="1" x14ac:dyDescent="0.25">
      <c r="Q190" s="195"/>
      <c r="R190" s="195"/>
      <c r="S190" s="195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</row>
    <row r="191" spans="17:45" s="54" customFormat="1" x14ac:dyDescent="0.25">
      <c r="Q191" s="195"/>
      <c r="R191" s="195"/>
      <c r="S191" s="195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</row>
    <row r="192" spans="17:45" s="54" customFormat="1" x14ac:dyDescent="0.25">
      <c r="Q192" s="195"/>
      <c r="R192" s="195"/>
      <c r="S192" s="195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</row>
    <row r="193" spans="17:45" s="54" customFormat="1" x14ac:dyDescent="0.25">
      <c r="Q193" s="195"/>
      <c r="R193" s="195"/>
      <c r="S193" s="195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</row>
    <row r="194" spans="17:45" s="54" customFormat="1" x14ac:dyDescent="0.25">
      <c r="Q194" s="195"/>
      <c r="R194" s="195"/>
      <c r="S194" s="195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</row>
    <row r="195" spans="17:45" s="54" customFormat="1" x14ac:dyDescent="0.25">
      <c r="Q195" s="195"/>
      <c r="R195" s="195"/>
      <c r="S195" s="195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</row>
    <row r="196" spans="17:45" s="54" customFormat="1" x14ac:dyDescent="0.25">
      <c r="Q196" s="195"/>
      <c r="R196" s="195"/>
      <c r="S196" s="195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</row>
    <row r="197" spans="17:45" s="54" customFormat="1" x14ac:dyDescent="0.25">
      <c r="Q197" s="195"/>
      <c r="R197" s="195"/>
      <c r="S197" s="195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</row>
    <row r="198" spans="17:45" s="54" customFormat="1" x14ac:dyDescent="0.25">
      <c r="Q198" s="195"/>
      <c r="R198" s="195"/>
      <c r="S198" s="195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</row>
    <row r="199" spans="17:45" s="54" customFormat="1" x14ac:dyDescent="0.25">
      <c r="Q199" s="195"/>
      <c r="R199" s="195"/>
      <c r="S199" s="195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</row>
    <row r="200" spans="17:45" s="54" customFormat="1" x14ac:dyDescent="0.25">
      <c r="Q200" s="195"/>
      <c r="R200" s="195"/>
      <c r="S200" s="195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</row>
    <row r="201" spans="17:45" s="54" customFormat="1" x14ac:dyDescent="0.25">
      <c r="Q201" s="195"/>
      <c r="R201" s="195"/>
      <c r="S201" s="195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</row>
    <row r="202" spans="17:45" s="54" customFormat="1" x14ac:dyDescent="0.25">
      <c r="Q202" s="195"/>
      <c r="R202" s="195"/>
      <c r="S202" s="195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</row>
    <row r="203" spans="17:45" s="54" customFormat="1" x14ac:dyDescent="0.25">
      <c r="Q203" s="195"/>
      <c r="R203" s="195"/>
      <c r="S203" s="195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</row>
    <row r="204" spans="17:45" s="54" customFormat="1" x14ac:dyDescent="0.25">
      <c r="Q204" s="195"/>
      <c r="R204" s="195"/>
      <c r="S204" s="195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</row>
    <row r="205" spans="17:45" s="54" customFormat="1" x14ac:dyDescent="0.25">
      <c r="Q205" s="195"/>
      <c r="R205" s="195"/>
      <c r="S205" s="195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</row>
    <row r="206" spans="17:45" s="54" customFormat="1" x14ac:dyDescent="0.25">
      <c r="Q206" s="195"/>
      <c r="R206" s="195"/>
      <c r="S206" s="195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</row>
    <row r="207" spans="17:45" s="54" customFormat="1" x14ac:dyDescent="0.25">
      <c r="Q207" s="195"/>
      <c r="R207" s="195"/>
      <c r="S207" s="195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</row>
    <row r="208" spans="17:45" s="54" customFormat="1" x14ac:dyDescent="0.25">
      <c r="Q208" s="195"/>
      <c r="R208" s="195"/>
      <c r="S208" s="195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</row>
    <row r="209" spans="17:45" s="54" customFormat="1" x14ac:dyDescent="0.25">
      <c r="Q209" s="195"/>
      <c r="R209" s="195"/>
      <c r="S209" s="195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</row>
    <row r="210" spans="17:45" s="54" customFormat="1" x14ac:dyDescent="0.25">
      <c r="Q210" s="195"/>
      <c r="R210" s="195"/>
      <c r="S210" s="195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</row>
    <row r="211" spans="17:45" s="54" customFormat="1" x14ac:dyDescent="0.25">
      <c r="Q211" s="195"/>
      <c r="R211" s="195"/>
      <c r="S211" s="195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</row>
    <row r="212" spans="17:45" s="54" customFormat="1" x14ac:dyDescent="0.25">
      <c r="Q212" s="195"/>
      <c r="R212" s="195"/>
      <c r="S212" s="195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</row>
    <row r="213" spans="17:45" s="54" customFormat="1" x14ac:dyDescent="0.25">
      <c r="Q213" s="195"/>
      <c r="R213" s="195"/>
      <c r="S213" s="195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</row>
    <row r="214" spans="17:45" s="54" customFormat="1" x14ac:dyDescent="0.25">
      <c r="Q214" s="195"/>
      <c r="R214" s="195"/>
      <c r="S214" s="195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</row>
    <row r="215" spans="17:45" s="54" customFormat="1" x14ac:dyDescent="0.25">
      <c r="Q215" s="195"/>
      <c r="R215" s="195"/>
      <c r="S215" s="195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</row>
    <row r="216" spans="17:45" s="54" customFormat="1" x14ac:dyDescent="0.25">
      <c r="Q216" s="195"/>
      <c r="R216" s="195"/>
      <c r="S216" s="195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</row>
    <row r="217" spans="17:45" s="54" customFormat="1" x14ac:dyDescent="0.25">
      <c r="Q217" s="195"/>
      <c r="R217" s="195"/>
      <c r="S217" s="195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</row>
    <row r="218" spans="17:45" s="54" customFormat="1" x14ac:dyDescent="0.25">
      <c r="Q218" s="195"/>
      <c r="R218" s="195"/>
      <c r="S218" s="195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</row>
    <row r="219" spans="17:45" s="54" customFormat="1" x14ac:dyDescent="0.25">
      <c r="Q219" s="195"/>
      <c r="R219" s="195"/>
      <c r="S219" s="195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</row>
    <row r="220" spans="17:45" s="54" customFormat="1" x14ac:dyDescent="0.25">
      <c r="Q220" s="195"/>
      <c r="R220" s="195"/>
      <c r="S220" s="195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</row>
    <row r="221" spans="17:45" s="54" customFormat="1" x14ac:dyDescent="0.25">
      <c r="Q221" s="195"/>
      <c r="R221" s="195"/>
      <c r="S221" s="195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</row>
    <row r="222" spans="17:45" s="54" customFormat="1" x14ac:dyDescent="0.25">
      <c r="Q222" s="195"/>
      <c r="R222" s="195"/>
      <c r="S222" s="195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</row>
    <row r="223" spans="17:45" s="54" customFormat="1" x14ac:dyDescent="0.25">
      <c r="Q223" s="195"/>
      <c r="R223" s="195"/>
      <c r="S223" s="195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</row>
    <row r="224" spans="17:45" s="54" customFormat="1" x14ac:dyDescent="0.25">
      <c r="Q224" s="195"/>
      <c r="R224" s="195"/>
      <c r="S224" s="195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</row>
    <row r="225" spans="17:45" s="54" customFormat="1" x14ac:dyDescent="0.25">
      <c r="Q225" s="195"/>
      <c r="R225" s="195"/>
      <c r="S225" s="195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</row>
    <row r="226" spans="17:45" s="54" customFormat="1" x14ac:dyDescent="0.25">
      <c r="Q226" s="195"/>
      <c r="R226" s="195"/>
      <c r="S226" s="195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</row>
    <row r="227" spans="17:45" s="54" customFormat="1" x14ac:dyDescent="0.25">
      <c r="Q227" s="195"/>
      <c r="R227" s="195"/>
      <c r="S227" s="195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</row>
    <row r="228" spans="17:45" s="54" customFormat="1" x14ac:dyDescent="0.25">
      <c r="Q228" s="195"/>
      <c r="R228" s="195"/>
      <c r="S228" s="195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</row>
    <row r="229" spans="17:45" s="54" customFormat="1" x14ac:dyDescent="0.25">
      <c r="Q229" s="195"/>
      <c r="R229" s="195"/>
      <c r="S229" s="195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</row>
    <row r="230" spans="17:45" s="54" customFormat="1" x14ac:dyDescent="0.25">
      <c r="Q230" s="195"/>
      <c r="R230" s="195"/>
      <c r="S230" s="195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</row>
    <row r="231" spans="17:45" s="54" customFormat="1" x14ac:dyDescent="0.25">
      <c r="Q231" s="195"/>
      <c r="R231" s="195"/>
      <c r="S231" s="195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</row>
    <row r="232" spans="17:45" s="54" customFormat="1" x14ac:dyDescent="0.25">
      <c r="Q232" s="195"/>
      <c r="R232" s="195"/>
      <c r="S232" s="195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</row>
    <row r="233" spans="17:45" s="54" customFormat="1" x14ac:dyDescent="0.25">
      <c r="Q233" s="195"/>
      <c r="R233" s="195"/>
      <c r="S233" s="195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</row>
    <row r="234" spans="17:45" s="54" customFormat="1" x14ac:dyDescent="0.25">
      <c r="Q234" s="195"/>
      <c r="R234" s="195"/>
      <c r="S234" s="195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</row>
    <row r="235" spans="17:45" s="54" customFormat="1" x14ac:dyDescent="0.25">
      <c r="Q235" s="195"/>
      <c r="R235" s="195"/>
      <c r="S235" s="195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</row>
    <row r="236" spans="17:45" s="54" customFormat="1" x14ac:dyDescent="0.25">
      <c r="Q236" s="195"/>
      <c r="R236" s="195"/>
      <c r="S236" s="195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</row>
    <row r="237" spans="17:45" s="54" customFormat="1" x14ac:dyDescent="0.25">
      <c r="Q237" s="195"/>
      <c r="R237" s="195"/>
      <c r="S237" s="195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</row>
    <row r="238" spans="17:45" s="54" customFormat="1" x14ac:dyDescent="0.25">
      <c r="Q238" s="195"/>
      <c r="R238" s="195"/>
      <c r="S238" s="195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</row>
    <row r="239" spans="17:45" s="54" customFormat="1" x14ac:dyDescent="0.25">
      <c r="Q239" s="195"/>
      <c r="R239" s="195"/>
      <c r="S239" s="195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</row>
    <row r="240" spans="17:45" s="54" customFormat="1" x14ac:dyDescent="0.25">
      <c r="Q240" s="195"/>
      <c r="R240" s="195"/>
      <c r="S240" s="195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</row>
    <row r="241" spans="17:45" s="54" customFormat="1" x14ac:dyDescent="0.25">
      <c r="Q241" s="195"/>
      <c r="R241" s="195"/>
      <c r="S241" s="195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</row>
    <row r="242" spans="17:45" s="54" customFormat="1" x14ac:dyDescent="0.25">
      <c r="Q242" s="195"/>
      <c r="R242" s="195"/>
      <c r="S242" s="195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</row>
    <row r="243" spans="17:45" s="54" customFormat="1" x14ac:dyDescent="0.25">
      <c r="Q243" s="195"/>
      <c r="R243" s="195"/>
      <c r="S243" s="195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</row>
    <row r="244" spans="17:45" s="54" customFormat="1" x14ac:dyDescent="0.25">
      <c r="Q244" s="195"/>
      <c r="R244" s="195"/>
      <c r="S244" s="195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</row>
    <row r="245" spans="17:45" s="54" customFormat="1" x14ac:dyDescent="0.25">
      <c r="Q245" s="195"/>
      <c r="R245" s="195"/>
      <c r="S245" s="195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</row>
    <row r="246" spans="17:45" s="54" customFormat="1" x14ac:dyDescent="0.25">
      <c r="Q246" s="195"/>
      <c r="R246" s="195"/>
      <c r="S246" s="195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</row>
    <row r="247" spans="17:45" s="54" customFormat="1" x14ac:dyDescent="0.25">
      <c r="Q247" s="195"/>
      <c r="R247" s="195"/>
      <c r="S247" s="195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</row>
    <row r="248" spans="17:45" s="54" customFormat="1" x14ac:dyDescent="0.25">
      <c r="Q248" s="195"/>
      <c r="R248" s="195"/>
      <c r="S248" s="195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</row>
    <row r="249" spans="17:45" s="54" customFormat="1" x14ac:dyDescent="0.25">
      <c r="Q249" s="195"/>
      <c r="R249" s="195"/>
      <c r="S249" s="195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</row>
    <row r="250" spans="17:45" s="54" customFormat="1" x14ac:dyDescent="0.25">
      <c r="Q250" s="195"/>
      <c r="R250" s="195"/>
      <c r="S250" s="195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</row>
    <row r="251" spans="17:45" s="54" customFormat="1" x14ac:dyDescent="0.25">
      <c r="Q251" s="195"/>
      <c r="R251" s="195"/>
      <c r="S251" s="195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</row>
    <row r="252" spans="17:45" s="54" customFormat="1" x14ac:dyDescent="0.25">
      <c r="Q252" s="195"/>
      <c r="R252" s="195"/>
      <c r="S252" s="195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</row>
    <row r="253" spans="17:45" s="54" customFormat="1" x14ac:dyDescent="0.25">
      <c r="Q253" s="195"/>
      <c r="R253" s="195"/>
      <c r="S253" s="195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</row>
    <row r="254" spans="17:45" s="54" customFormat="1" x14ac:dyDescent="0.25">
      <c r="Q254" s="195"/>
      <c r="R254" s="195"/>
      <c r="S254" s="195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</row>
    <row r="255" spans="17:45" s="54" customFormat="1" x14ac:dyDescent="0.25">
      <c r="Q255" s="195"/>
      <c r="R255" s="195"/>
      <c r="S255" s="195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</row>
    <row r="256" spans="17:45" s="54" customFormat="1" x14ac:dyDescent="0.25">
      <c r="Q256" s="195"/>
      <c r="R256" s="195"/>
      <c r="S256" s="195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</row>
    <row r="257" spans="17:45" s="54" customFormat="1" x14ac:dyDescent="0.25">
      <c r="Q257" s="195"/>
      <c r="R257" s="195"/>
      <c r="S257" s="195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</row>
    <row r="258" spans="17:45" s="54" customFormat="1" x14ac:dyDescent="0.25">
      <c r="Q258" s="195"/>
      <c r="R258" s="195"/>
      <c r="S258" s="195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</row>
    <row r="259" spans="17:45" s="54" customFormat="1" x14ac:dyDescent="0.25">
      <c r="Q259" s="195"/>
      <c r="R259" s="195"/>
      <c r="S259" s="195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</row>
    <row r="260" spans="17:45" s="54" customFormat="1" x14ac:dyDescent="0.25">
      <c r="Q260" s="195"/>
      <c r="R260" s="195"/>
      <c r="S260" s="195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</row>
    <row r="261" spans="17:45" s="54" customFormat="1" x14ac:dyDescent="0.25">
      <c r="Q261" s="195"/>
      <c r="R261" s="195"/>
      <c r="S261" s="195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</row>
    <row r="262" spans="17:45" s="54" customFormat="1" x14ac:dyDescent="0.25">
      <c r="Q262" s="195"/>
      <c r="R262" s="195"/>
      <c r="S262" s="195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</row>
    <row r="263" spans="17:45" s="54" customFormat="1" x14ac:dyDescent="0.25">
      <c r="Q263" s="195"/>
      <c r="R263" s="195"/>
      <c r="S263" s="195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</row>
    <row r="264" spans="17:45" s="54" customFormat="1" x14ac:dyDescent="0.25">
      <c r="Q264" s="195"/>
      <c r="R264" s="195"/>
      <c r="S264" s="195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</row>
    <row r="265" spans="17:45" s="54" customFormat="1" x14ac:dyDescent="0.25">
      <c r="Q265" s="195"/>
      <c r="R265" s="195"/>
      <c r="S265" s="195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</row>
    <row r="266" spans="17:45" s="54" customFormat="1" x14ac:dyDescent="0.25">
      <c r="Q266" s="195"/>
      <c r="R266" s="195"/>
      <c r="S266" s="195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</row>
    <row r="267" spans="17:45" s="54" customFormat="1" x14ac:dyDescent="0.25">
      <c r="Q267" s="195"/>
      <c r="R267" s="195"/>
      <c r="S267" s="195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</row>
    <row r="268" spans="17:45" s="54" customFormat="1" x14ac:dyDescent="0.25">
      <c r="Q268" s="195"/>
      <c r="R268" s="195"/>
      <c r="S268" s="195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</row>
    <row r="269" spans="17:45" s="54" customFormat="1" x14ac:dyDescent="0.25">
      <c r="Q269" s="195"/>
      <c r="R269" s="195"/>
      <c r="S269" s="195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</row>
    <row r="270" spans="17:45" s="54" customFormat="1" x14ac:dyDescent="0.25">
      <c r="Q270" s="195"/>
      <c r="R270" s="195"/>
      <c r="S270" s="195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</row>
    <row r="271" spans="17:45" s="54" customFormat="1" x14ac:dyDescent="0.25">
      <c r="Q271" s="195"/>
      <c r="R271" s="195"/>
      <c r="S271" s="195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</row>
    <row r="272" spans="17:45" s="54" customFormat="1" x14ac:dyDescent="0.25">
      <c r="Q272" s="195"/>
      <c r="R272" s="195"/>
      <c r="S272" s="195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</row>
    <row r="273" spans="17:45" s="54" customFormat="1" x14ac:dyDescent="0.25">
      <c r="Q273" s="195"/>
      <c r="R273" s="195"/>
      <c r="S273" s="195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</row>
    <row r="274" spans="17:45" s="54" customFormat="1" x14ac:dyDescent="0.25">
      <c r="Q274" s="195"/>
      <c r="R274" s="195"/>
      <c r="S274" s="195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</row>
    <row r="275" spans="17:45" s="54" customFormat="1" x14ac:dyDescent="0.25">
      <c r="Q275" s="195"/>
      <c r="R275" s="195"/>
      <c r="S275" s="195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</row>
    <row r="276" spans="17:45" s="54" customFormat="1" x14ac:dyDescent="0.25">
      <c r="Q276" s="195"/>
      <c r="R276" s="195"/>
      <c r="S276" s="195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</row>
    <row r="277" spans="17:45" s="54" customFormat="1" x14ac:dyDescent="0.25">
      <c r="Q277" s="195"/>
      <c r="R277" s="195"/>
      <c r="S277" s="195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</row>
    <row r="278" spans="17:45" s="54" customFormat="1" x14ac:dyDescent="0.25">
      <c r="Q278" s="195"/>
      <c r="R278" s="195"/>
      <c r="S278" s="195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</row>
    <row r="279" spans="17:45" s="54" customFormat="1" x14ac:dyDescent="0.25">
      <c r="Q279" s="195"/>
      <c r="R279" s="195"/>
      <c r="S279" s="195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</row>
    <row r="280" spans="17:45" s="54" customFormat="1" x14ac:dyDescent="0.25">
      <c r="Q280" s="195"/>
      <c r="R280" s="195"/>
      <c r="S280" s="195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</row>
    <row r="281" spans="17:45" s="54" customFormat="1" x14ac:dyDescent="0.25">
      <c r="Q281" s="195"/>
      <c r="R281" s="195"/>
      <c r="S281" s="195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</row>
    <row r="282" spans="17:45" s="54" customFormat="1" x14ac:dyDescent="0.25">
      <c r="Q282" s="195"/>
      <c r="R282" s="195"/>
      <c r="S282" s="195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</row>
    <row r="283" spans="17:45" s="54" customFormat="1" x14ac:dyDescent="0.25">
      <c r="Q283" s="195"/>
      <c r="R283" s="195"/>
      <c r="S283" s="195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</row>
    <row r="284" spans="17:45" s="54" customFormat="1" x14ac:dyDescent="0.25">
      <c r="Q284" s="195"/>
      <c r="R284" s="195"/>
      <c r="S284" s="195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</row>
    <row r="285" spans="17:45" s="54" customFormat="1" x14ac:dyDescent="0.25">
      <c r="Q285" s="195"/>
      <c r="R285" s="195"/>
      <c r="S285" s="195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</row>
    <row r="286" spans="17:45" s="54" customFormat="1" x14ac:dyDescent="0.25">
      <c r="Q286" s="195"/>
      <c r="R286" s="195"/>
      <c r="S286" s="195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</row>
    <row r="287" spans="17:45" s="54" customFormat="1" x14ac:dyDescent="0.25">
      <c r="Q287" s="195"/>
      <c r="R287" s="195"/>
      <c r="S287" s="195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</row>
    <row r="288" spans="17:45" s="54" customFormat="1" x14ac:dyDescent="0.25">
      <c r="Q288" s="195"/>
      <c r="R288" s="195"/>
      <c r="S288" s="195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</row>
    <row r="289" spans="17:45" s="54" customFormat="1" x14ac:dyDescent="0.25">
      <c r="Q289" s="195"/>
      <c r="R289" s="195"/>
      <c r="S289" s="195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</row>
    <row r="290" spans="17:45" s="54" customFormat="1" x14ac:dyDescent="0.25">
      <c r="Q290" s="195"/>
      <c r="R290" s="195"/>
      <c r="S290" s="195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</row>
    <row r="291" spans="17:45" s="54" customFormat="1" x14ac:dyDescent="0.25">
      <c r="Q291" s="195"/>
      <c r="R291" s="195"/>
      <c r="S291" s="195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</row>
    <row r="292" spans="17:45" s="54" customFormat="1" x14ac:dyDescent="0.25">
      <c r="Q292" s="195"/>
      <c r="R292" s="195"/>
      <c r="S292" s="195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</row>
    <row r="293" spans="17:45" s="54" customFormat="1" x14ac:dyDescent="0.25">
      <c r="Q293" s="195"/>
      <c r="R293" s="195"/>
      <c r="S293" s="195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</row>
    <row r="294" spans="17:45" s="54" customFormat="1" x14ac:dyDescent="0.25">
      <c r="Q294" s="195"/>
      <c r="R294" s="195"/>
      <c r="S294" s="195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</row>
    <row r="295" spans="17:45" s="54" customFormat="1" x14ac:dyDescent="0.25">
      <c r="Q295" s="195"/>
      <c r="R295" s="195"/>
      <c r="S295" s="195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</row>
    <row r="296" spans="17:45" s="54" customFormat="1" x14ac:dyDescent="0.25">
      <c r="Q296" s="195"/>
      <c r="R296" s="195"/>
      <c r="S296" s="195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</row>
    <row r="297" spans="17:45" s="54" customFormat="1" x14ac:dyDescent="0.25">
      <c r="Q297" s="195"/>
      <c r="R297" s="195"/>
      <c r="S297" s="195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</row>
    <row r="298" spans="17:45" s="54" customFormat="1" x14ac:dyDescent="0.25">
      <c r="Q298" s="195"/>
      <c r="R298" s="195"/>
      <c r="S298" s="195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</row>
    <row r="299" spans="17:45" s="54" customFormat="1" x14ac:dyDescent="0.25">
      <c r="Q299" s="195"/>
      <c r="R299" s="195"/>
      <c r="S299" s="195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</row>
    <row r="300" spans="17:45" s="54" customFormat="1" x14ac:dyDescent="0.25">
      <c r="Q300" s="195"/>
      <c r="R300" s="195"/>
      <c r="S300" s="195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</row>
    <row r="301" spans="17:45" s="54" customFormat="1" x14ac:dyDescent="0.25">
      <c r="Q301" s="195"/>
      <c r="R301" s="195"/>
      <c r="S301" s="195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</row>
    <row r="302" spans="17:45" s="54" customFormat="1" x14ac:dyDescent="0.25">
      <c r="Q302" s="195"/>
      <c r="R302" s="195"/>
      <c r="S302" s="195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</row>
    <row r="303" spans="17:45" s="54" customFormat="1" x14ac:dyDescent="0.25">
      <c r="Q303" s="195"/>
      <c r="R303" s="195"/>
      <c r="S303" s="195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</row>
    <row r="304" spans="17:45" s="54" customFormat="1" x14ac:dyDescent="0.25">
      <c r="Q304" s="195"/>
      <c r="R304" s="195"/>
      <c r="S304" s="195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</row>
    <row r="305" spans="17:45" s="54" customFormat="1" x14ac:dyDescent="0.25">
      <c r="Q305" s="195"/>
      <c r="R305" s="195"/>
      <c r="S305" s="195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</row>
    <row r="306" spans="17:45" s="54" customFormat="1" x14ac:dyDescent="0.25">
      <c r="Q306" s="195"/>
      <c r="R306" s="195"/>
      <c r="S306" s="195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</row>
    <row r="307" spans="17:45" s="54" customFormat="1" x14ac:dyDescent="0.25">
      <c r="Q307" s="195"/>
      <c r="R307" s="195"/>
      <c r="S307" s="195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</row>
    <row r="308" spans="17:45" s="54" customFormat="1" x14ac:dyDescent="0.25">
      <c r="Q308" s="195"/>
      <c r="R308" s="195"/>
      <c r="S308" s="195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</row>
    <row r="309" spans="17:45" s="54" customFormat="1" x14ac:dyDescent="0.25">
      <c r="Q309" s="195"/>
      <c r="R309" s="195"/>
      <c r="S309" s="195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</row>
    <row r="310" spans="17:45" s="54" customFormat="1" x14ac:dyDescent="0.25">
      <c r="Q310" s="195"/>
      <c r="R310" s="195"/>
      <c r="S310" s="195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</row>
    <row r="311" spans="17:45" s="54" customFormat="1" x14ac:dyDescent="0.25">
      <c r="Q311" s="195"/>
      <c r="R311" s="195"/>
      <c r="S311" s="195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</row>
    <row r="312" spans="17:45" s="54" customFormat="1" x14ac:dyDescent="0.25">
      <c r="Q312" s="195"/>
      <c r="R312" s="195"/>
      <c r="S312" s="195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</row>
    <row r="313" spans="17:45" s="54" customFormat="1" x14ac:dyDescent="0.25">
      <c r="Q313" s="195"/>
      <c r="R313" s="195"/>
      <c r="S313" s="195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</row>
    <row r="314" spans="17:45" s="54" customFormat="1" x14ac:dyDescent="0.25">
      <c r="Q314" s="195"/>
      <c r="R314" s="195"/>
      <c r="S314" s="195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</row>
    <row r="315" spans="17:45" s="54" customFormat="1" x14ac:dyDescent="0.25">
      <c r="Q315" s="195"/>
      <c r="R315" s="195"/>
      <c r="S315" s="195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</row>
    <row r="316" spans="17:45" s="54" customFormat="1" x14ac:dyDescent="0.25">
      <c r="Q316" s="195"/>
      <c r="R316" s="195"/>
      <c r="S316" s="195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</row>
    <row r="317" spans="17:45" s="54" customFormat="1" x14ac:dyDescent="0.25">
      <c r="Q317" s="195"/>
      <c r="R317" s="195"/>
      <c r="S317" s="195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</row>
    <row r="318" spans="17:45" s="54" customFormat="1" x14ac:dyDescent="0.25">
      <c r="Q318" s="195"/>
      <c r="R318" s="195"/>
      <c r="S318" s="195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</row>
    <row r="319" spans="17:45" s="54" customFormat="1" x14ac:dyDescent="0.25">
      <c r="Q319" s="195"/>
      <c r="R319" s="195"/>
      <c r="S319" s="195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</row>
    <row r="320" spans="17:45" s="54" customFormat="1" x14ac:dyDescent="0.25">
      <c r="Q320" s="195"/>
      <c r="R320" s="195"/>
      <c r="S320" s="195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</row>
    <row r="321" spans="17:45" s="54" customFormat="1" x14ac:dyDescent="0.25">
      <c r="Q321" s="195"/>
      <c r="R321" s="195"/>
      <c r="S321" s="195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</row>
    <row r="322" spans="17:45" s="54" customFormat="1" x14ac:dyDescent="0.25">
      <c r="Q322" s="195"/>
      <c r="R322" s="195"/>
      <c r="S322" s="195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</row>
    <row r="323" spans="17:45" s="54" customFormat="1" x14ac:dyDescent="0.25">
      <c r="Q323" s="195"/>
      <c r="R323" s="195"/>
      <c r="S323" s="195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</row>
    <row r="324" spans="17:45" s="54" customFormat="1" x14ac:dyDescent="0.25">
      <c r="Q324" s="195"/>
      <c r="R324" s="195"/>
      <c r="S324" s="195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</row>
    <row r="325" spans="17:45" s="54" customFormat="1" x14ac:dyDescent="0.25">
      <c r="Q325" s="195"/>
      <c r="R325" s="195"/>
      <c r="S325" s="195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</row>
    <row r="326" spans="17:45" s="54" customFormat="1" x14ac:dyDescent="0.25">
      <c r="Q326" s="195"/>
      <c r="R326" s="195"/>
      <c r="S326" s="195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</row>
    <row r="327" spans="17:45" s="54" customFormat="1" x14ac:dyDescent="0.25">
      <c r="Q327" s="195"/>
      <c r="R327" s="195"/>
      <c r="S327" s="195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</row>
    <row r="328" spans="17:45" s="54" customFormat="1" x14ac:dyDescent="0.25">
      <c r="Q328" s="195"/>
      <c r="R328" s="195"/>
      <c r="S328" s="195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</row>
    <row r="329" spans="17:45" s="54" customFormat="1" x14ac:dyDescent="0.25">
      <c r="Q329" s="195"/>
      <c r="R329" s="195"/>
      <c r="S329" s="195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</row>
    <row r="330" spans="17:45" s="54" customFormat="1" x14ac:dyDescent="0.25">
      <c r="Q330" s="195"/>
      <c r="R330" s="195"/>
      <c r="S330" s="195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</row>
    <row r="331" spans="17:45" s="54" customFormat="1" x14ac:dyDescent="0.25">
      <c r="Q331" s="195"/>
      <c r="R331" s="195"/>
      <c r="S331" s="195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</row>
    <row r="332" spans="17:45" s="54" customFormat="1" x14ac:dyDescent="0.25">
      <c r="Q332" s="195"/>
      <c r="R332" s="195"/>
      <c r="S332" s="195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</row>
    <row r="333" spans="17:45" s="54" customFormat="1" x14ac:dyDescent="0.25">
      <c r="Q333" s="195"/>
      <c r="R333" s="195"/>
      <c r="S333" s="195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</row>
    <row r="334" spans="17:45" s="54" customFormat="1" x14ac:dyDescent="0.25">
      <c r="Q334" s="195"/>
      <c r="R334" s="195"/>
      <c r="S334" s="195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</row>
    <row r="335" spans="17:45" s="54" customFormat="1" x14ac:dyDescent="0.25">
      <c r="Q335" s="195"/>
      <c r="R335" s="195"/>
      <c r="S335" s="195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</row>
    <row r="336" spans="17:45" s="54" customFormat="1" x14ac:dyDescent="0.25">
      <c r="Q336" s="195"/>
      <c r="R336" s="195"/>
      <c r="S336" s="195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</row>
    <row r="337" spans="17:45" s="54" customFormat="1" x14ac:dyDescent="0.25">
      <c r="Q337" s="195"/>
      <c r="R337" s="195"/>
      <c r="S337" s="195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</row>
    <row r="338" spans="17:45" s="54" customFormat="1" x14ac:dyDescent="0.25">
      <c r="Q338" s="195"/>
      <c r="R338" s="195"/>
      <c r="S338" s="195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</row>
    <row r="339" spans="17:45" s="54" customFormat="1" x14ac:dyDescent="0.25">
      <c r="Q339" s="195"/>
      <c r="R339" s="195"/>
      <c r="S339" s="195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</row>
    <row r="340" spans="17:45" s="54" customFormat="1" x14ac:dyDescent="0.25">
      <c r="Q340" s="195"/>
      <c r="R340" s="195"/>
      <c r="S340" s="195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</row>
    <row r="341" spans="17:45" s="54" customFormat="1" x14ac:dyDescent="0.25">
      <c r="Q341" s="195"/>
      <c r="R341" s="195"/>
      <c r="S341" s="195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</row>
    <row r="342" spans="17:45" s="54" customFormat="1" x14ac:dyDescent="0.25">
      <c r="Q342" s="195"/>
      <c r="R342" s="195"/>
      <c r="S342" s="195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</row>
    <row r="343" spans="17:45" s="54" customFormat="1" x14ac:dyDescent="0.25">
      <c r="Q343" s="195"/>
      <c r="R343" s="195"/>
      <c r="S343" s="195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</row>
    <row r="344" spans="17:45" s="54" customFormat="1" x14ac:dyDescent="0.25">
      <c r="Q344" s="195"/>
      <c r="R344" s="195"/>
      <c r="S344" s="195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</row>
    <row r="345" spans="17:45" s="54" customFormat="1" x14ac:dyDescent="0.25">
      <c r="Q345" s="195"/>
      <c r="R345" s="195"/>
      <c r="S345" s="195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</row>
    <row r="346" spans="17:45" s="54" customFormat="1" x14ac:dyDescent="0.25">
      <c r="Q346" s="195"/>
      <c r="R346" s="195"/>
      <c r="S346" s="195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</row>
    <row r="347" spans="17:45" s="54" customFormat="1" x14ac:dyDescent="0.25">
      <c r="Q347" s="195"/>
      <c r="R347" s="195"/>
      <c r="S347" s="195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</row>
    <row r="348" spans="17:45" s="54" customFormat="1" x14ac:dyDescent="0.25">
      <c r="Q348" s="195"/>
      <c r="R348" s="195"/>
      <c r="S348" s="195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</row>
    <row r="349" spans="17:45" s="54" customFormat="1" x14ac:dyDescent="0.25">
      <c r="Q349" s="195"/>
      <c r="R349" s="195"/>
      <c r="S349" s="195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</row>
    <row r="350" spans="17:45" s="54" customFormat="1" x14ac:dyDescent="0.25">
      <c r="Q350" s="195"/>
      <c r="R350" s="195"/>
      <c r="S350" s="195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</row>
    <row r="351" spans="17:45" s="54" customFormat="1" x14ac:dyDescent="0.25">
      <c r="Q351" s="195"/>
      <c r="R351" s="195"/>
      <c r="S351" s="195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</row>
    <row r="352" spans="17:45" s="54" customFormat="1" x14ac:dyDescent="0.25">
      <c r="Q352" s="195"/>
      <c r="R352" s="195"/>
      <c r="S352" s="195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</row>
    <row r="353" spans="17:45" s="54" customFormat="1" x14ac:dyDescent="0.25">
      <c r="Q353" s="195"/>
      <c r="R353" s="195"/>
      <c r="S353" s="195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</row>
    <row r="354" spans="17:45" s="54" customFormat="1" x14ac:dyDescent="0.25">
      <c r="Q354" s="195"/>
      <c r="R354" s="195"/>
      <c r="S354" s="195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</row>
    <row r="355" spans="17:45" s="54" customFormat="1" x14ac:dyDescent="0.25">
      <c r="Q355" s="195"/>
      <c r="R355" s="195"/>
      <c r="S355" s="195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</row>
    <row r="356" spans="17:45" s="54" customFormat="1" x14ac:dyDescent="0.25">
      <c r="Q356" s="195"/>
      <c r="R356" s="195"/>
      <c r="S356" s="195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</row>
    <row r="357" spans="17:45" s="54" customFormat="1" x14ac:dyDescent="0.25">
      <c r="Q357" s="195"/>
      <c r="R357" s="195"/>
      <c r="S357" s="195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</row>
    <row r="358" spans="17:45" s="54" customFormat="1" x14ac:dyDescent="0.25">
      <c r="Q358" s="195"/>
      <c r="R358" s="195"/>
      <c r="S358" s="195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</row>
    <row r="359" spans="17:45" s="54" customFormat="1" x14ac:dyDescent="0.25">
      <c r="Q359" s="195"/>
      <c r="R359" s="195"/>
      <c r="S359" s="195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</row>
    <row r="360" spans="17:45" s="54" customFormat="1" x14ac:dyDescent="0.25">
      <c r="Q360" s="195"/>
      <c r="R360" s="195"/>
      <c r="S360" s="195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</row>
    <row r="361" spans="17:45" s="54" customFormat="1" x14ac:dyDescent="0.25">
      <c r="Q361" s="195"/>
      <c r="R361" s="195"/>
      <c r="S361" s="195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</row>
    <row r="362" spans="17:45" s="54" customFormat="1" x14ac:dyDescent="0.25">
      <c r="Q362" s="195"/>
      <c r="R362" s="195"/>
      <c r="S362" s="195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</row>
    <row r="363" spans="17:45" s="54" customFormat="1" x14ac:dyDescent="0.25">
      <c r="Q363" s="195"/>
      <c r="R363" s="195"/>
      <c r="S363" s="195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</row>
    <row r="364" spans="17:45" s="54" customFormat="1" x14ac:dyDescent="0.25">
      <c r="Q364" s="195"/>
      <c r="R364" s="195"/>
      <c r="S364" s="195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</row>
    <row r="365" spans="17:45" s="54" customFormat="1" x14ac:dyDescent="0.25">
      <c r="Q365" s="195"/>
      <c r="R365" s="195"/>
      <c r="S365" s="195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</row>
    <row r="366" spans="17:45" s="54" customFormat="1" x14ac:dyDescent="0.25">
      <c r="Q366" s="195"/>
      <c r="R366" s="195"/>
      <c r="S366" s="195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</row>
    <row r="367" spans="17:45" s="54" customFormat="1" x14ac:dyDescent="0.25">
      <c r="Q367" s="195"/>
      <c r="R367" s="195"/>
      <c r="S367" s="195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</row>
    <row r="368" spans="17:45" s="54" customFormat="1" x14ac:dyDescent="0.25">
      <c r="Q368" s="195"/>
      <c r="R368" s="195"/>
      <c r="S368" s="195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</row>
    <row r="369" spans="17:45" s="54" customFormat="1" x14ac:dyDescent="0.25">
      <c r="Q369" s="195"/>
      <c r="R369" s="195"/>
      <c r="S369" s="195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</row>
    <row r="370" spans="17:45" s="54" customFormat="1" x14ac:dyDescent="0.25">
      <c r="Q370" s="195"/>
      <c r="R370" s="195"/>
      <c r="S370" s="195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</row>
    <row r="371" spans="17:45" s="54" customFormat="1" x14ac:dyDescent="0.25">
      <c r="Q371" s="195"/>
      <c r="R371" s="195"/>
      <c r="S371" s="195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</row>
    <row r="372" spans="17:45" s="54" customFormat="1" x14ac:dyDescent="0.25">
      <c r="Q372" s="195"/>
      <c r="R372" s="195"/>
      <c r="S372" s="195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</row>
    <row r="373" spans="17:45" s="54" customFormat="1" x14ac:dyDescent="0.25">
      <c r="Q373" s="195"/>
      <c r="R373" s="195"/>
      <c r="S373" s="195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</row>
    <row r="374" spans="17:45" s="54" customFormat="1" x14ac:dyDescent="0.25">
      <c r="Q374" s="195"/>
      <c r="R374" s="195"/>
      <c r="S374" s="195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</row>
    <row r="375" spans="17:45" s="54" customFormat="1" x14ac:dyDescent="0.25">
      <c r="Q375" s="195"/>
      <c r="R375" s="195"/>
      <c r="S375" s="195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</row>
    <row r="376" spans="17:45" s="54" customFormat="1" x14ac:dyDescent="0.25">
      <c r="Q376" s="195"/>
      <c r="R376" s="195"/>
      <c r="S376" s="195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</row>
    <row r="377" spans="17:45" s="54" customFormat="1" x14ac:dyDescent="0.25">
      <c r="Q377" s="195"/>
      <c r="R377" s="195"/>
      <c r="S377" s="195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</row>
    <row r="378" spans="17:45" s="54" customFormat="1" x14ac:dyDescent="0.25">
      <c r="Q378" s="195"/>
      <c r="R378" s="195"/>
      <c r="S378" s="195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</row>
    <row r="379" spans="17:45" s="54" customFormat="1" x14ac:dyDescent="0.25">
      <c r="Q379" s="195"/>
      <c r="R379" s="195"/>
      <c r="S379" s="195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</row>
    <row r="380" spans="17:45" s="54" customFormat="1" x14ac:dyDescent="0.25">
      <c r="Q380" s="195"/>
      <c r="R380" s="195"/>
      <c r="S380" s="195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</row>
    <row r="381" spans="17:45" s="54" customFormat="1" x14ac:dyDescent="0.25">
      <c r="Q381" s="195"/>
      <c r="R381" s="195"/>
      <c r="S381" s="195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</row>
    <row r="382" spans="17:45" s="54" customFormat="1" x14ac:dyDescent="0.25">
      <c r="Q382" s="195"/>
      <c r="R382" s="195"/>
      <c r="S382" s="195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</row>
    <row r="383" spans="17:45" s="54" customFormat="1" x14ac:dyDescent="0.25">
      <c r="Q383" s="195"/>
      <c r="R383" s="195"/>
      <c r="S383" s="195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</row>
    <row r="384" spans="17:45" s="54" customFormat="1" x14ac:dyDescent="0.25">
      <c r="Q384" s="195"/>
      <c r="R384" s="195"/>
      <c r="S384" s="195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</row>
    <row r="385" spans="17:45" s="54" customFormat="1" x14ac:dyDescent="0.25">
      <c r="Q385" s="195"/>
      <c r="R385" s="195"/>
      <c r="S385" s="195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</row>
    <row r="386" spans="17:45" s="54" customFormat="1" x14ac:dyDescent="0.25">
      <c r="Q386" s="195"/>
      <c r="R386" s="195"/>
      <c r="S386" s="195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</row>
    <row r="387" spans="17:45" s="54" customFormat="1" x14ac:dyDescent="0.25">
      <c r="Q387" s="195"/>
      <c r="R387" s="195"/>
      <c r="S387" s="195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</row>
    <row r="388" spans="17:45" s="54" customFormat="1" x14ac:dyDescent="0.25">
      <c r="Q388" s="195"/>
      <c r="R388" s="195"/>
      <c r="S388" s="195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</row>
    <row r="389" spans="17:45" s="54" customFormat="1" x14ac:dyDescent="0.25">
      <c r="Q389" s="195"/>
      <c r="R389" s="195"/>
      <c r="S389" s="195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</row>
    <row r="390" spans="17:45" s="54" customFormat="1" x14ac:dyDescent="0.25">
      <c r="Q390" s="195"/>
      <c r="R390" s="195"/>
      <c r="S390" s="195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</row>
    <row r="391" spans="17:45" s="54" customFormat="1" x14ac:dyDescent="0.25">
      <c r="Q391" s="195"/>
      <c r="R391" s="195"/>
      <c r="S391" s="195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</row>
    <row r="392" spans="17:45" s="54" customFormat="1" x14ac:dyDescent="0.25">
      <c r="Q392" s="195"/>
      <c r="R392" s="195"/>
      <c r="S392" s="195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</row>
    <row r="393" spans="17:45" s="54" customFormat="1" x14ac:dyDescent="0.25">
      <c r="Q393" s="195"/>
      <c r="R393" s="195"/>
      <c r="S393" s="195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</row>
    <row r="394" spans="17:45" s="54" customFormat="1" x14ac:dyDescent="0.25">
      <c r="Q394" s="195"/>
      <c r="R394" s="195"/>
      <c r="S394" s="195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</row>
    <row r="395" spans="17:45" s="54" customFormat="1" x14ac:dyDescent="0.25">
      <c r="Q395" s="195"/>
      <c r="R395" s="195"/>
      <c r="S395" s="195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</row>
    <row r="396" spans="17:45" s="54" customFormat="1" x14ac:dyDescent="0.25">
      <c r="Q396" s="195"/>
      <c r="R396" s="195"/>
      <c r="S396" s="195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</row>
    <row r="397" spans="17:45" s="54" customFormat="1" x14ac:dyDescent="0.25">
      <c r="Q397" s="195"/>
      <c r="R397" s="195"/>
      <c r="S397" s="195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</row>
    <row r="398" spans="17:45" s="54" customFormat="1" x14ac:dyDescent="0.25">
      <c r="Q398" s="195"/>
      <c r="R398" s="195"/>
      <c r="S398" s="195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</row>
    <row r="399" spans="17:45" s="54" customFormat="1" x14ac:dyDescent="0.25">
      <c r="Q399" s="195"/>
      <c r="R399" s="195"/>
      <c r="S399" s="195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</row>
    <row r="400" spans="17:45" s="54" customFormat="1" x14ac:dyDescent="0.25">
      <c r="Q400" s="195"/>
      <c r="R400" s="195"/>
      <c r="S400" s="195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</row>
    <row r="401" spans="17:45" s="54" customFormat="1" x14ac:dyDescent="0.25">
      <c r="Q401" s="195"/>
      <c r="R401" s="195"/>
      <c r="S401" s="195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</row>
    <row r="402" spans="17:45" s="54" customFormat="1" x14ac:dyDescent="0.25">
      <c r="Q402" s="195"/>
      <c r="R402" s="195"/>
      <c r="S402" s="195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</row>
    <row r="403" spans="17:45" s="54" customFormat="1" x14ac:dyDescent="0.25">
      <c r="Q403" s="195"/>
      <c r="R403" s="195"/>
      <c r="S403" s="195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</row>
    <row r="404" spans="17:45" s="54" customFormat="1" x14ac:dyDescent="0.25">
      <c r="Q404" s="195"/>
      <c r="R404" s="195"/>
      <c r="S404" s="195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</row>
    <row r="405" spans="17:45" s="54" customFormat="1" x14ac:dyDescent="0.25">
      <c r="Q405" s="195"/>
      <c r="R405" s="195"/>
      <c r="S405" s="195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</row>
    <row r="406" spans="17:45" s="54" customFormat="1" x14ac:dyDescent="0.25">
      <c r="Q406" s="195"/>
      <c r="R406" s="195"/>
      <c r="S406" s="195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</row>
    <row r="407" spans="17:45" s="54" customFormat="1" x14ac:dyDescent="0.25">
      <c r="Q407" s="195"/>
      <c r="R407" s="195"/>
      <c r="S407" s="195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</row>
    <row r="408" spans="17:45" s="54" customFormat="1" x14ac:dyDescent="0.25">
      <c r="Q408" s="195"/>
      <c r="R408" s="195"/>
      <c r="S408" s="195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</row>
    <row r="409" spans="17:45" s="54" customFormat="1" x14ac:dyDescent="0.25">
      <c r="Q409" s="195"/>
      <c r="R409" s="195"/>
      <c r="S409" s="195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</row>
    <row r="410" spans="17:45" s="54" customFormat="1" x14ac:dyDescent="0.25">
      <c r="Q410" s="195"/>
      <c r="R410" s="195"/>
      <c r="S410" s="195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</row>
    <row r="411" spans="17:45" s="54" customFormat="1" x14ac:dyDescent="0.25">
      <c r="Q411" s="195"/>
      <c r="R411" s="195"/>
      <c r="S411" s="195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</row>
    <row r="412" spans="17:45" s="54" customFormat="1" x14ac:dyDescent="0.25">
      <c r="Q412" s="195"/>
      <c r="R412" s="195"/>
      <c r="S412" s="195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</row>
    <row r="413" spans="17:45" s="54" customFormat="1" x14ac:dyDescent="0.25">
      <c r="Q413" s="195"/>
      <c r="R413" s="195"/>
      <c r="S413" s="195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</row>
    <row r="414" spans="17:45" s="54" customFormat="1" x14ac:dyDescent="0.25">
      <c r="Q414" s="195"/>
      <c r="R414" s="195"/>
      <c r="S414" s="195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</row>
    <row r="415" spans="17:45" s="54" customFormat="1" x14ac:dyDescent="0.25">
      <c r="Q415" s="195"/>
      <c r="R415" s="195"/>
      <c r="S415" s="195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</row>
    <row r="416" spans="17:45" s="54" customFormat="1" x14ac:dyDescent="0.25">
      <c r="Q416" s="195"/>
      <c r="R416" s="195"/>
      <c r="S416" s="195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</row>
    <row r="417" spans="17:45" s="54" customFormat="1" x14ac:dyDescent="0.25">
      <c r="Q417" s="195"/>
      <c r="R417" s="195"/>
      <c r="S417" s="195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</row>
    <row r="418" spans="17:45" s="54" customFormat="1" x14ac:dyDescent="0.25">
      <c r="Q418" s="195"/>
      <c r="R418" s="195"/>
      <c r="S418" s="195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</row>
    <row r="419" spans="17:45" s="54" customFormat="1" x14ac:dyDescent="0.25">
      <c r="Q419" s="195"/>
      <c r="R419" s="195"/>
      <c r="S419" s="195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</row>
    <row r="420" spans="17:45" s="54" customFormat="1" x14ac:dyDescent="0.25">
      <c r="Q420" s="195"/>
      <c r="R420" s="195"/>
      <c r="S420" s="195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</row>
    <row r="421" spans="17:45" s="54" customFormat="1" x14ac:dyDescent="0.25">
      <c r="Q421" s="195"/>
      <c r="R421" s="195"/>
      <c r="S421" s="195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</row>
    <row r="422" spans="17:45" s="54" customFormat="1" x14ac:dyDescent="0.25">
      <c r="Q422" s="195"/>
      <c r="R422" s="195"/>
      <c r="S422" s="195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</row>
    <row r="423" spans="17:45" s="54" customFormat="1" x14ac:dyDescent="0.25">
      <c r="Q423" s="195"/>
      <c r="R423" s="195"/>
      <c r="S423" s="195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</row>
    <row r="424" spans="17:45" s="54" customFormat="1" x14ac:dyDescent="0.25">
      <c r="Q424" s="195"/>
      <c r="R424" s="195"/>
      <c r="S424" s="195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</row>
    <row r="425" spans="17:45" s="54" customFormat="1" x14ac:dyDescent="0.25">
      <c r="Q425" s="195"/>
      <c r="R425" s="195"/>
      <c r="S425" s="195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</row>
    <row r="426" spans="17:45" s="54" customFormat="1" x14ac:dyDescent="0.25">
      <c r="Q426" s="195"/>
      <c r="R426" s="195"/>
      <c r="S426" s="195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</row>
    <row r="427" spans="17:45" s="54" customFormat="1" x14ac:dyDescent="0.25">
      <c r="Q427" s="195"/>
      <c r="R427" s="195"/>
      <c r="S427" s="195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</row>
    <row r="428" spans="17:45" s="54" customFormat="1" x14ac:dyDescent="0.25">
      <c r="Q428" s="195"/>
      <c r="R428" s="195"/>
      <c r="S428" s="195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</row>
    <row r="429" spans="17:45" s="54" customFormat="1" x14ac:dyDescent="0.25">
      <c r="Q429" s="195"/>
      <c r="R429" s="195"/>
      <c r="S429" s="195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</row>
    <row r="430" spans="17:45" s="54" customFormat="1" x14ac:dyDescent="0.25">
      <c r="Q430" s="195"/>
      <c r="R430" s="195"/>
      <c r="S430" s="195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</row>
    <row r="431" spans="17:45" s="54" customFormat="1" x14ac:dyDescent="0.25">
      <c r="Q431" s="195"/>
      <c r="R431" s="195"/>
      <c r="S431" s="195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</row>
    <row r="432" spans="17:45" s="54" customFormat="1" x14ac:dyDescent="0.25">
      <c r="Q432" s="195"/>
      <c r="R432" s="195"/>
      <c r="S432" s="195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</row>
    <row r="433" spans="17:45" s="54" customFormat="1" x14ac:dyDescent="0.25">
      <c r="Q433" s="195"/>
      <c r="R433" s="195"/>
      <c r="S433" s="195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</row>
  </sheetData>
  <autoFilter ref="A14:BN27" xr:uid="{E9B1C23E-B2B4-4B1A-BAB1-6D5BAFB1C20F}"/>
  <mergeCells count="15">
    <mergeCell ref="L13:P13"/>
    <mergeCell ref="Q13:S13"/>
    <mergeCell ref="D30:H30"/>
    <mergeCell ref="L30:O30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26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910A8-603F-4078-B884-38DE748BA1B6}">
  <sheetPr>
    <tabColor rgb="FF00B050"/>
    <pageSetUpPr fitToPage="1"/>
  </sheetPr>
  <dimension ref="A1:BQ465"/>
  <sheetViews>
    <sheetView showZeros="0" topLeftCell="A42" zoomScaleNormal="100" workbookViewId="0">
      <selection activeCell="F58" sqref="F15:P58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7" width="8.28515625" style="4" customWidth="1"/>
    <col min="8" max="15" width="10.7109375" style="4" customWidth="1"/>
    <col min="16" max="16" width="13.28515625" style="4" customWidth="1"/>
    <col min="17" max="19" width="5.7109375" style="195" customWidth="1" outlineLevel="1"/>
    <col min="20" max="22" width="10.7109375" style="90" customWidth="1" outlineLevel="1"/>
    <col min="23" max="45" width="10.7109375" style="90" customWidth="1"/>
    <col min="46" max="66" width="8.85546875" style="54"/>
    <col min="67" max="16384" width="8.85546875" style="4"/>
  </cols>
  <sheetData>
    <row r="1" spans="1:66" ht="15" x14ac:dyDescent="0.2">
      <c r="A1" s="408" t="s">
        <v>469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66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66" ht="15" x14ac:dyDescent="0.2">
      <c r="A3" s="409" t="str">
        <f>Kopsavilkums!C20</f>
        <v>Jumta konstrukcija, segums, notekcaurules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4" spans="1:66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</row>
    <row r="5" spans="1:66" x14ac:dyDescent="0.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66" x14ac:dyDescent="0.2">
      <c r="A6" s="1" t="s">
        <v>64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66" x14ac:dyDescent="0.2">
      <c r="A7" s="1" t="s">
        <v>65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66" x14ac:dyDescent="0.2">
      <c r="A8" s="2" t="s">
        <v>66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66" x14ac:dyDescent="0.2">
      <c r="A9" s="1" t="s">
        <v>54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0</v>
      </c>
      <c r="P9" s="18">
        <f>P59</f>
        <v>0</v>
      </c>
    </row>
    <row r="10" spans="1:66" ht="4.9000000000000004" customHeight="1" x14ac:dyDescent="0.2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66" x14ac:dyDescent="0.2">
      <c r="A11" s="107" t="s">
        <v>67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 xml:space="preserve">Tāme sastādīta: </v>
      </c>
    </row>
    <row r="12" spans="1:66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66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</v>
      </c>
      <c r="E13" s="418" t="s">
        <v>5</v>
      </c>
      <c r="F13" s="412" t="s">
        <v>6</v>
      </c>
      <c r="G13" s="420" t="s">
        <v>19</v>
      </c>
      <c r="H13" s="404" t="s">
        <v>7</v>
      </c>
      <c r="I13" s="405"/>
      <c r="J13" s="405"/>
      <c r="K13" s="406"/>
      <c r="L13" s="405" t="s">
        <v>8</v>
      </c>
      <c r="M13" s="405"/>
      <c r="N13" s="405"/>
      <c r="O13" s="405"/>
      <c r="P13" s="406"/>
      <c r="Q13" s="403"/>
      <c r="R13" s="403"/>
      <c r="S13" s="403"/>
    </row>
    <row r="14" spans="1:66" ht="34.9" customHeight="1" thickBot="1" x14ac:dyDescent="0.25">
      <c r="A14" s="413"/>
      <c r="B14" s="415"/>
      <c r="C14" s="415"/>
      <c r="D14" s="417"/>
      <c r="E14" s="419"/>
      <c r="F14" s="413"/>
      <c r="G14" s="421"/>
      <c r="H14" s="56" t="s">
        <v>17</v>
      </c>
      <c r="I14" s="60" t="s">
        <v>16</v>
      </c>
      <c r="J14" s="57" t="s">
        <v>15</v>
      </c>
      <c r="K14" s="58" t="s">
        <v>18</v>
      </c>
      <c r="L14" s="58" t="s">
        <v>9</v>
      </c>
      <c r="M14" s="56" t="s">
        <v>17</v>
      </c>
      <c r="N14" s="60" t="s">
        <v>16</v>
      </c>
      <c r="O14" s="57" t="s">
        <v>15</v>
      </c>
      <c r="P14" s="59" t="s">
        <v>14</v>
      </c>
      <c r="Q14" s="196"/>
      <c r="R14" s="196"/>
      <c r="S14" s="196"/>
    </row>
    <row r="15" spans="1:66" s="224" customFormat="1" ht="25.5" x14ac:dyDescent="0.2">
      <c r="A15" s="333"/>
      <c r="B15" s="138"/>
      <c r="C15" s="177" t="str">
        <f>A3</f>
        <v>Jumta konstrukcija, segums, notekcaurules</v>
      </c>
      <c r="D15" s="139"/>
      <c r="E15" s="140"/>
      <c r="F15" s="119"/>
      <c r="G15" s="61"/>
      <c r="H15" s="26"/>
      <c r="I15" s="27"/>
      <c r="J15" s="27"/>
      <c r="K15" s="25"/>
      <c r="L15" s="25"/>
      <c r="M15" s="26"/>
      <c r="N15" s="27"/>
      <c r="O15" s="28"/>
      <c r="P15" s="29"/>
      <c r="Q15" s="195"/>
      <c r="R15" s="195"/>
      <c r="S15" s="195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23"/>
      <c r="AU15" s="223"/>
      <c r="AV15" s="223"/>
      <c r="AW15" s="223"/>
      <c r="AX15" s="223"/>
      <c r="AY15" s="223"/>
      <c r="AZ15" s="223"/>
      <c r="BA15" s="223"/>
      <c r="BB15" s="223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3"/>
    </row>
    <row r="16" spans="1:66" s="184" customFormat="1" ht="11.25" x14ac:dyDescent="0.15">
      <c r="A16" s="334"/>
      <c r="B16" s="186"/>
      <c r="C16" s="188" t="s">
        <v>297</v>
      </c>
      <c r="D16" s="188" t="s">
        <v>45</v>
      </c>
      <c r="E16" s="268">
        <v>116</v>
      </c>
      <c r="F16" s="26"/>
      <c r="G16" s="61"/>
      <c r="H16" s="26"/>
      <c r="I16" s="27"/>
      <c r="J16" s="27"/>
      <c r="K16" s="25"/>
      <c r="L16" s="25"/>
      <c r="M16" s="26"/>
      <c r="N16" s="27"/>
      <c r="O16" s="28"/>
      <c r="P16" s="29"/>
      <c r="Q16" s="195"/>
      <c r="R16" s="195"/>
      <c r="S16" s="195"/>
      <c r="T16" s="90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</row>
    <row r="17" spans="1:69" s="184" customFormat="1" ht="11.25" x14ac:dyDescent="0.15">
      <c r="A17" s="334" t="s">
        <v>34</v>
      </c>
      <c r="B17" s="182"/>
      <c r="C17" s="179" t="s">
        <v>291</v>
      </c>
      <c r="D17" s="180" t="s">
        <v>44</v>
      </c>
      <c r="E17" s="183">
        <v>851.8</v>
      </c>
      <c r="F17" s="26"/>
      <c r="G17" s="61"/>
      <c r="H17" s="26"/>
      <c r="I17" s="27"/>
      <c r="J17" s="27"/>
      <c r="K17" s="25"/>
      <c r="L17" s="25"/>
      <c r="M17" s="26"/>
      <c r="N17" s="27"/>
      <c r="O17" s="28"/>
      <c r="P17" s="29"/>
      <c r="Q17" s="195"/>
      <c r="R17" s="195"/>
      <c r="S17" s="195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</row>
    <row r="18" spans="1:69" s="184" customFormat="1" ht="11.25" x14ac:dyDescent="0.15">
      <c r="A18" s="334"/>
      <c r="B18" s="182"/>
      <c r="C18" s="187" t="s">
        <v>294</v>
      </c>
      <c r="D18" s="180" t="s">
        <v>44</v>
      </c>
      <c r="E18" s="183">
        <f>ROUND(E17*1.05,1)</f>
        <v>894.4</v>
      </c>
      <c r="F18" s="26"/>
      <c r="G18" s="61"/>
      <c r="H18" s="26"/>
      <c r="I18" s="27"/>
      <c r="J18" s="27"/>
      <c r="K18" s="25"/>
      <c r="L18" s="25"/>
      <c r="M18" s="26"/>
      <c r="N18" s="27"/>
      <c r="O18" s="28"/>
      <c r="P18" s="29"/>
      <c r="Q18" s="195"/>
      <c r="R18" s="195"/>
      <c r="S18" s="195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</row>
    <row r="19" spans="1:69" s="184" customFormat="1" ht="11.25" x14ac:dyDescent="0.15">
      <c r="A19" s="334"/>
      <c r="B19" s="176"/>
      <c r="C19" s="187" t="s">
        <v>292</v>
      </c>
      <c r="D19" s="180" t="s">
        <v>45</v>
      </c>
      <c r="E19" s="183">
        <v>660</v>
      </c>
      <c r="F19" s="26"/>
      <c r="G19" s="61"/>
      <c r="H19" s="26"/>
      <c r="I19" s="27"/>
      <c r="J19" s="27"/>
      <c r="K19" s="25"/>
      <c r="L19" s="25"/>
      <c r="M19" s="26"/>
      <c r="N19" s="27"/>
      <c r="O19" s="28"/>
      <c r="P19" s="29"/>
      <c r="Q19" s="195"/>
      <c r="R19" s="195"/>
      <c r="S19" s="195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</row>
    <row r="20" spans="1:69" s="184" customFormat="1" ht="11.25" x14ac:dyDescent="0.15">
      <c r="A20" s="334"/>
      <c r="B20" s="186"/>
      <c r="C20" s="187" t="s">
        <v>293</v>
      </c>
      <c r="D20" s="180" t="s">
        <v>45</v>
      </c>
      <c r="E20" s="183">
        <v>660</v>
      </c>
      <c r="F20" s="26"/>
      <c r="G20" s="61"/>
      <c r="H20" s="26"/>
      <c r="I20" s="27"/>
      <c r="J20" s="27"/>
      <c r="K20" s="25"/>
      <c r="L20" s="25"/>
      <c r="M20" s="26"/>
      <c r="N20" s="27"/>
      <c r="O20" s="28"/>
      <c r="P20" s="29"/>
      <c r="Q20" s="195"/>
      <c r="R20" s="195"/>
      <c r="S20" s="195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</row>
    <row r="21" spans="1:69" s="184" customFormat="1" ht="11.25" x14ac:dyDescent="0.15">
      <c r="A21" s="334"/>
      <c r="B21" s="176"/>
      <c r="C21" s="187" t="s">
        <v>295</v>
      </c>
      <c r="D21" s="180" t="s">
        <v>45</v>
      </c>
      <c r="E21" s="183">
        <v>1320</v>
      </c>
      <c r="F21" s="26"/>
      <c r="G21" s="61"/>
      <c r="H21" s="26"/>
      <c r="I21" s="27"/>
      <c r="J21" s="27"/>
      <c r="K21" s="25"/>
      <c r="L21" s="25"/>
      <c r="M21" s="26"/>
      <c r="N21" s="27"/>
      <c r="O21" s="28"/>
      <c r="P21" s="29"/>
      <c r="Q21" s="195"/>
      <c r="R21" s="195"/>
      <c r="S21" s="195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</row>
    <row r="22" spans="1:69" s="184" customFormat="1" ht="22.5" x14ac:dyDescent="0.15">
      <c r="A22" s="334"/>
      <c r="B22" s="186"/>
      <c r="C22" s="185" t="s">
        <v>296</v>
      </c>
      <c r="D22" s="180" t="s">
        <v>48</v>
      </c>
      <c r="E22" s="183">
        <v>1</v>
      </c>
      <c r="F22" s="26"/>
      <c r="G22" s="61"/>
      <c r="H22" s="26"/>
      <c r="I22" s="27"/>
      <c r="J22" s="27"/>
      <c r="K22" s="25"/>
      <c r="L22" s="25"/>
      <c r="M22" s="26"/>
      <c r="N22" s="27"/>
      <c r="O22" s="28"/>
      <c r="P22" s="29"/>
      <c r="Q22" s="195"/>
      <c r="R22" s="195"/>
      <c r="S22" s="195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</row>
    <row r="23" spans="1:69" s="184" customFormat="1" ht="11.25" x14ac:dyDescent="0.15">
      <c r="A23" s="334"/>
      <c r="B23" s="186"/>
      <c r="C23" s="178" t="s">
        <v>298</v>
      </c>
      <c r="D23" s="178" t="s">
        <v>45</v>
      </c>
      <c r="E23" s="234">
        <v>16</v>
      </c>
      <c r="F23" s="26"/>
      <c r="G23" s="61"/>
      <c r="H23" s="26"/>
      <c r="I23" s="27"/>
      <c r="J23" s="27"/>
      <c r="K23" s="25"/>
      <c r="L23" s="25"/>
      <c r="M23" s="26"/>
      <c r="N23" s="27"/>
      <c r="O23" s="28"/>
      <c r="P23" s="29"/>
      <c r="Q23" s="195"/>
      <c r="R23" s="195"/>
      <c r="S23" s="195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</row>
    <row r="24" spans="1:69" s="184" customFormat="1" ht="11.25" x14ac:dyDescent="0.15">
      <c r="A24" s="334" t="s">
        <v>35</v>
      </c>
      <c r="B24" s="186"/>
      <c r="C24" s="179" t="s">
        <v>301</v>
      </c>
      <c r="D24" s="180" t="s">
        <v>44</v>
      </c>
      <c r="E24" s="183">
        <f>E23*6</f>
        <v>96</v>
      </c>
      <c r="F24" s="26"/>
      <c r="G24" s="61"/>
      <c r="H24" s="26"/>
      <c r="I24" s="27"/>
      <c r="J24" s="27"/>
      <c r="K24" s="25"/>
      <c r="L24" s="25"/>
      <c r="M24" s="26"/>
      <c r="N24" s="27"/>
      <c r="O24" s="28"/>
      <c r="P24" s="29"/>
      <c r="Q24" s="195"/>
      <c r="R24" s="195"/>
      <c r="S24" s="195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</row>
    <row r="25" spans="1:69" s="184" customFormat="1" ht="11.25" x14ac:dyDescent="0.15">
      <c r="A25" s="334"/>
      <c r="B25" s="182"/>
      <c r="C25" s="185" t="s">
        <v>299</v>
      </c>
      <c r="D25" s="180" t="s">
        <v>42</v>
      </c>
      <c r="E25" s="183">
        <f>ROUND(1.92*1.1,3)</f>
        <v>2.1120000000000001</v>
      </c>
      <c r="F25" s="26"/>
      <c r="G25" s="61"/>
      <c r="H25" s="26"/>
      <c r="I25" s="27"/>
      <c r="J25" s="27"/>
      <c r="K25" s="25"/>
      <c r="L25" s="25"/>
      <c r="M25" s="26"/>
      <c r="N25" s="27"/>
      <c r="O25" s="28"/>
      <c r="P25" s="29"/>
      <c r="Q25" s="195"/>
      <c r="R25" s="195"/>
      <c r="S25" s="195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</row>
    <row r="26" spans="1:69" s="184" customFormat="1" ht="33.75" x14ac:dyDescent="0.15">
      <c r="A26" s="334"/>
      <c r="B26" s="176"/>
      <c r="C26" s="185" t="s">
        <v>300</v>
      </c>
      <c r="D26" s="180" t="s">
        <v>48</v>
      </c>
      <c r="E26" s="183">
        <v>1</v>
      </c>
      <c r="F26" s="26"/>
      <c r="G26" s="61"/>
      <c r="H26" s="26"/>
      <c r="I26" s="27"/>
      <c r="J26" s="27"/>
      <c r="K26" s="25"/>
      <c r="L26" s="25"/>
      <c r="M26" s="26"/>
      <c r="N26" s="27"/>
      <c r="O26" s="28"/>
      <c r="P26" s="29"/>
      <c r="Q26" s="195"/>
      <c r="R26" s="195"/>
      <c r="S26" s="195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</row>
    <row r="27" spans="1:69" s="184" customFormat="1" ht="11.25" x14ac:dyDescent="0.15">
      <c r="A27" s="334"/>
      <c r="B27" s="186"/>
      <c r="C27" s="178" t="s">
        <v>319</v>
      </c>
      <c r="D27" s="178" t="s">
        <v>43</v>
      </c>
      <c r="E27" s="183">
        <v>1216.4000000000001</v>
      </c>
      <c r="F27" s="26"/>
      <c r="G27" s="61"/>
      <c r="H27" s="26"/>
      <c r="I27" s="27"/>
      <c r="J27" s="27"/>
      <c r="K27" s="25"/>
      <c r="L27" s="25"/>
      <c r="M27" s="26"/>
      <c r="N27" s="27"/>
      <c r="O27" s="28"/>
      <c r="P27" s="29"/>
      <c r="Q27" s="195"/>
      <c r="R27" s="195"/>
      <c r="S27" s="195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</row>
    <row r="28" spans="1:69" s="184" customFormat="1" ht="11.25" x14ac:dyDescent="0.15">
      <c r="A28" s="334" t="s">
        <v>36</v>
      </c>
      <c r="B28" s="186"/>
      <c r="C28" s="179" t="s">
        <v>304</v>
      </c>
      <c r="D28" s="180" t="s">
        <v>43</v>
      </c>
      <c r="E28" s="183">
        <f>E27</f>
        <v>1216.4000000000001</v>
      </c>
      <c r="F28" s="26"/>
      <c r="G28" s="61"/>
      <c r="H28" s="26"/>
      <c r="I28" s="27"/>
      <c r="J28" s="27"/>
      <c r="K28" s="25"/>
      <c r="L28" s="25"/>
      <c r="M28" s="26"/>
      <c r="N28" s="27"/>
      <c r="O28" s="28"/>
      <c r="P28" s="29"/>
      <c r="Q28" s="195"/>
      <c r="R28" s="195"/>
      <c r="S28" s="195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</row>
    <row r="29" spans="1:69" s="184" customFormat="1" ht="11.25" x14ac:dyDescent="0.15">
      <c r="A29" s="334"/>
      <c r="B29" s="186"/>
      <c r="C29" s="185" t="s">
        <v>302</v>
      </c>
      <c r="D29" s="180" t="s">
        <v>43</v>
      </c>
      <c r="E29" s="126">
        <f>ROUND(E28*1.05,1)</f>
        <v>1277.2</v>
      </c>
      <c r="F29" s="26"/>
      <c r="G29" s="61"/>
      <c r="H29" s="26"/>
      <c r="I29" s="27"/>
      <c r="J29" s="27"/>
      <c r="K29" s="25"/>
      <c r="L29" s="25"/>
      <c r="M29" s="26"/>
      <c r="N29" s="27"/>
      <c r="O29" s="28"/>
      <c r="P29" s="29"/>
      <c r="Q29" s="195"/>
      <c r="R29" s="195"/>
      <c r="S29" s="195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</row>
    <row r="30" spans="1:69" s="184" customFormat="1" ht="22.5" x14ac:dyDescent="0.15">
      <c r="A30" s="334"/>
      <c r="B30" s="186"/>
      <c r="C30" s="187" t="s">
        <v>303</v>
      </c>
      <c r="D30" s="180" t="s">
        <v>43</v>
      </c>
      <c r="E30" s="183">
        <f>E28</f>
        <v>1216.4000000000001</v>
      </c>
      <c r="F30" s="26"/>
      <c r="G30" s="61"/>
      <c r="H30" s="26"/>
      <c r="I30" s="27"/>
      <c r="J30" s="27"/>
      <c r="K30" s="25"/>
      <c r="L30" s="25"/>
      <c r="M30" s="26"/>
      <c r="N30" s="27"/>
      <c r="O30" s="28"/>
      <c r="P30" s="29"/>
      <c r="Q30" s="195"/>
      <c r="R30" s="195"/>
      <c r="S30" s="195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</row>
    <row r="31" spans="1:69" s="184" customFormat="1" ht="22.5" x14ac:dyDescent="0.15">
      <c r="A31" s="334" t="s">
        <v>37</v>
      </c>
      <c r="B31" s="186"/>
      <c r="C31" s="179" t="s">
        <v>305</v>
      </c>
      <c r="D31" s="180" t="s">
        <v>43</v>
      </c>
      <c r="E31" s="183">
        <f>E28</f>
        <v>1216.4000000000001</v>
      </c>
      <c r="F31" s="26"/>
      <c r="G31" s="61"/>
      <c r="H31" s="26"/>
      <c r="I31" s="27"/>
      <c r="J31" s="27"/>
      <c r="K31" s="25"/>
      <c r="L31" s="25"/>
      <c r="M31" s="26"/>
      <c r="N31" s="27"/>
      <c r="O31" s="28"/>
      <c r="P31" s="29"/>
      <c r="Q31" s="195"/>
      <c r="R31" s="195"/>
      <c r="S31" s="195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</row>
    <row r="32" spans="1:69" s="184" customFormat="1" ht="12.75" x14ac:dyDescent="0.15">
      <c r="A32" s="334"/>
      <c r="B32" s="186"/>
      <c r="C32" s="235" t="s">
        <v>331</v>
      </c>
      <c r="D32" s="121"/>
      <c r="E32" s="126"/>
      <c r="F32" s="26"/>
      <c r="G32" s="61"/>
      <c r="H32" s="26"/>
      <c r="I32" s="27"/>
      <c r="J32" s="27"/>
      <c r="K32" s="25"/>
      <c r="L32" s="25"/>
      <c r="M32" s="26"/>
      <c r="N32" s="27"/>
      <c r="O32" s="28"/>
      <c r="P32" s="29"/>
      <c r="Q32" s="195"/>
      <c r="R32" s="195"/>
      <c r="S32" s="195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</row>
    <row r="33" spans="1:69" s="184" customFormat="1" ht="11.25" x14ac:dyDescent="0.15">
      <c r="A33" s="334" t="s">
        <v>38</v>
      </c>
      <c r="B33" s="182"/>
      <c r="C33" s="310" t="s">
        <v>332</v>
      </c>
      <c r="D33" s="121" t="s">
        <v>44</v>
      </c>
      <c r="E33" s="126">
        <v>96.7</v>
      </c>
      <c r="F33" s="26"/>
      <c r="G33" s="61"/>
      <c r="H33" s="26"/>
      <c r="I33" s="27"/>
      <c r="J33" s="27"/>
      <c r="K33" s="25"/>
      <c r="L33" s="25"/>
      <c r="M33" s="26"/>
      <c r="N33" s="27"/>
      <c r="O33" s="28"/>
      <c r="P33" s="29"/>
      <c r="Q33" s="195"/>
      <c r="R33" s="195"/>
      <c r="S33" s="195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</row>
    <row r="34" spans="1:69" s="184" customFormat="1" ht="11.25" x14ac:dyDescent="0.15">
      <c r="A34" s="334"/>
      <c r="B34" s="176"/>
      <c r="C34" s="187" t="s">
        <v>677</v>
      </c>
      <c r="D34" s="121" t="s">
        <v>44</v>
      </c>
      <c r="E34" s="126">
        <f>ROUND(E33*1.15,2)</f>
        <v>111.21</v>
      </c>
      <c r="F34" s="26"/>
      <c r="G34" s="61"/>
      <c r="H34" s="26"/>
      <c r="I34" s="27"/>
      <c r="J34" s="27"/>
      <c r="K34" s="25"/>
      <c r="L34" s="25"/>
      <c r="M34" s="26"/>
      <c r="N34" s="27"/>
      <c r="O34" s="28"/>
      <c r="P34" s="29"/>
      <c r="Q34" s="195"/>
      <c r="R34" s="195"/>
      <c r="S34" s="195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</row>
    <row r="35" spans="1:69" s="184" customFormat="1" ht="22.5" x14ac:dyDescent="0.15">
      <c r="A35" s="334"/>
      <c r="B35" s="186"/>
      <c r="C35" s="187" t="s">
        <v>333</v>
      </c>
      <c r="D35" s="121" t="s">
        <v>44</v>
      </c>
      <c r="E35" s="126">
        <f>E33</f>
        <v>96.7</v>
      </c>
      <c r="F35" s="26"/>
      <c r="G35" s="61"/>
      <c r="H35" s="26"/>
      <c r="I35" s="27"/>
      <c r="J35" s="27"/>
      <c r="K35" s="25"/>
      <c r="L35" s="25"/>
      <c r="M35" s="26"/>
      <c r="N35" s="27"/>
      <c r="O35" s="28"/>
      <c r="P35" s="29"/>
      <c r="Q35" s="195"/>
      <c r="R35" s="195"/>
      <c r="S35" s="195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</row>
    <row r="36" spans="1:69" s="184" customFormat="1" ht="11.25" x14ac:dyDescent="0.15">
      <c r="A36" s="334" t="s">
        <v>39</v>
      </c>
      <c r="B36" s="182"/>
      <c r="C36" s="310" t="s">
        <v>338</v>
      </c>
      <c r="D36" s="121" t="s">
        <v>44</v>
      </c>
      <c r="E36" s="126">
        <v>54.8</v>
      </c>
      <c r="F36" s="26"/>
      <c r="G36" s="61"/>
      <c r="H36" s="26"/>
      <c r="I36" s="27"/>
      <c r="J36" s="27"/>
      <c r="K36" s="25"/>
      <c r="L36" s="25"/>
      <c r="M36" s="26"/>
      <c r="N36" s="27"/>
      <c r="O36" s="28"/>
      <c r="P36" s="29"/>
      <c r="Q36" s="195"/>
      <c r="R36" s="195"/>
      <c r="S36" s="195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</row>
    <row r="37" spans="1:69" s="184" customFormat="1" ht="11.25" x14ac:dyDescent="0.15">
      <c r="A37" s="334"/>
      <c r="B37" s="176"/>
      <c r="C37" s="187" t="s">
        <v>678</v>
      </c>
      <c r="D37" s="121" t="s">
        <v>44</v>
      </c>
      <c r="E37" s="126">
        <f>ROUND(E36*1.15,2)</f>
        <v>63.02</v>
      </c>
      <c r="F37" s="26"/>
      <c r="G37" s="61"/>
      <c r="H37" s="26"/>
      <c r="I37" s="27"/>
      <c r="J37" s="27"/>
      <c r="K37" s="25"/>
      <c r="L37" s="25"/>
      <c r="M37" s="26"/>
      <c r="N37" s="27"/>
      <c r="O37" s="28"/>
      <c r="P37" s="29"/>
      <c r="Q37" s="195"/>
      <c r="R37" s="195"/>
      <c r="S37" s="195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</row>
    <row r="38" spans="1:69" s="184" customFormat="1" ht="22.5" x14ac:dyDescent="0.15">
      <c r="A38" s="334"/>
      <c r="B38" s="186"/>
      <c r="C38" s="187" t="s">
        <v>333</v>
      </c>
      <c r="D38" s="121" t="s">
        <v>44</v>
      </c>
      <c r="E38" s="126">
        <f>E36</f>
        <v>54.8</v>
      </c>
      <c r="F38" s="26"/>
      <c r="G38" s="61"/>
      <c r="H38" s="26"/>
      <c r="I38" s="27"/>
      <c r="J38" s="27"/>
      <c r="K38" s="25"/>
      <c r="L38" s="25"/>
      <c r="M38" s="26"/>
      <c r="N38" s="27"/>
      <c r="O38" s="28"/>
      <c r="P38" s="29"/>
      <c r="Q38" s="195"/>
      <c r="R38" s="195"/>
      <c r="S38" s="195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</row>
    <row r="39" spans="1:69" s="184" customFormat="1" ht="11.25" x14ac:dyDescent="0.15">
      <c r="A39" s="334" t="s">
        <v>40</v>
      </c>
      <c r="B39" s="186"/>
      <c r="C39" s="310" t="s">
        <v>334</v>
      </c>
      <c r="D39" s="121" t="s">
        <v>44</v>
      </c>
      <c r="E39" s="126">
        <v>6</v>
      </c>
      <c r="F39" s="26"/>
      <c r="G39" s="61"/>
      <c r="H39" s="26"/>
      <c r="I39" s="27"/>
      <c r="J39" s="27"/>
      <c r="K39" s="25"/>
      <c r="L39" s="25"/>
      <c r="M39" s="26"/>
      <c r="N39" s="27"/>
      <c r="O39" s="28"/>
      <c r="P39" s="29"/>
      <c r="Q39" s="195"/>
      <c r="R39" s="195"/>
      <c r="S39" s="195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</row>
    <row r="40" spans="1:69" s="184" customFormat="1" ht="11.25" x14ac:dyDescent="0.15">
      <c r="A40" s="334"/>
      <c r="B40" s="186"/>
      <c r="C40" s="187" t="s">
        <v>679</v>
      </c>
      <c r="D40" s="121" t="s">
        <v>44</v>
      </c>
      <c r="E40" s="126">
        <f>ROUND(E39*1.15,2)</f>
        <v>6.9</v>
      </c>
      <c r="F40" s="26"/>
      <c r="G40" s="61"/>
      <c r="H40" s="26"/>
      <c r="I40" s="27"/>
      <c r="J40" s="27"/>
      <c r="K40" s="25"/>
      <c r="L40" s="25"/>
      <c r="M40" s="26"/>
      <c r="N40" s="27"/>
      <c r="O40" s="28"/>
      <c r="P40" s="29"/>
      <c r="Q40" s="195"/>
      <c r="R40" s="195"/>
      <c r="S40" s="195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</row>
    <row r="41" spans="1:69" s="184" customFormat="1" ht="22.5" x14ac:dyDescent="0.15">
      <c r="A41" s="334"/>
      <c r="B41" s="186"/>
      <c r="C41" s="187" t="s">
        <v>333</v>
      </c>
      <c r="D41" s="121" t="s">
        <v>44</v>
      </c>
      <c r="E41" s="126">
        <f>E39</f>
        <v>6</v>
      </c>
      <c r="F41" s="26"/>
      <c r="G41" s="61"/>
      <c r="H41" s="26"/>
      <c r="I41" s="27"/>
      <c r="J41" s="27"/>
      <c r="K41" s="25"/>
      <c r="L41" s="25"/>
      <c r="M41" s="26"/>
      <c r="N41" s="27"/>
      <c r="O41" s="28"/>
      <c r="P41" s="29"/>
      <c r="Q41" s="195"/>
      <c r="R41" s="195"/>
      <c r="S41" s="195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</row>
    <row r="42" spans="1:69" s="184" customFormat="1" ht="12.75" x14ac:dyDescent="0.15">
      <c r="A42" s="334"/>
      <c r="B42" s="182"/>
      <c r="C42" s="235" t="s">
        <v>335</v>
      </c>
      <c r="D42" s="121"/>
      <c r="E42" s="126"/>
      <c r="F42" s="26"/>
      <c r="G42" s="61"/>
      <c r="H42" s="26"/>
      <c r="I42" s="27"/>
      <c r="J42" s="27"/>
      <c r="K42" s="25"/>
      <c r="L42" s="25"/>
      <c r="M42" s="26"/>
      <c r="N42" s="27"/>
      <c r="O42" s="28"/>
      <c r="P42" s="29"/>
      <c r="Q42" s="195"/>
      <c r="R42" s="195"/>
      <c r="S42" s="195"/>
      <c r="T42" s="102"/>
      <c r="U42" s="102"/>
      <c r="V42" s="102"/>
      <c r="W42" s="90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</row>
    <row r="43" spans="1:69" s="184" customFormat="1" ht="11.25" x14ac:dyDescent="0.15">
      <c r="A43" s="334" t="s">
        <v>313</v>
      </c>
      <c r="B43" s="186"/>
      <c r="C43" s="236" t="s">
        <v>336</v>
      </c>
      <c r="D43" s="121" t="s">
        <v>44</v>
      </c>
      <c r="E43" s="126">
        <v>96.7</v>
      </c>
      <c r="F43" s="26"/>
      <c r="G43" s="61"/>
      <c r="H43" s="26"/>
      <c r="I43" s="27"/>
      <c r="J43" s="27"/>
      <c r="K43" s="25"/>
      <c r="L43" s="25"/>
      <c r="M43" s="26"/>
      <c r="N43" s="27"/>
      <c r="O43" s="28"/>
      <c r="P43" s="29"/>
      <c r="Q43" s="195"/>
      <c r="R43" s="195"/>
      <c r="S43" s="195"/>
      <c r="T43" s="102"/>
      <c r="U43" s="102"/>
      <c r="V43" s="102"/>
      <c r="W43" s="90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</row>
    <row r="44" spans="1:69" s="184" customFormat="1" ht="11.25" x14ac:dyDescent="0.15">
      <c r="A44" s="334"/>
      <c r="B44" s="186"/>
      <c r="C44" s="187" t="s">
        <v>680</v>
      </c>
      <c r="D44" s="121" t="s">
        <v>44</v>
      </c>
      <c r="E44" s="126">
        <f>ROUND(E43*1.15,2)</f>
        <v>111.21</v>
      </c>
      <c r="F44" s="26"/>
      <c r="G44" s="61"/>
      <c r="H44" s="26"/>
      <c r="I44" s="27"/>
      <c r="J44" s="27"/>
      <c r="K44" s="25"/>
      <c r="L44" s="25"/>
      <c r="M44" s="26"/>
      <c r="N44" s="27"/>
      <c r="O44" s="28"/>
      <c r="P44" s="29"/>
      <c r="Q44" s="195"/>
      <c r="R44" s="195"/>
      <c r="S44" s="195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</row>
    <row r="45" spans="1:69" s="184" customFormat="1" ht="11.25" x14ac:dyDescent="0.15">
      <c r="A45" s="334"/>
      <c r="B45" s="182"/>
      <c r="C45" s="311" t="s">
        <v>681</v>
      </c>
      <c r="D45" s="312" t="s">
        <v>45</v>
      </c>
      <c r="E45" s="313">
        <v>4</v>
      </c>
      <c r="F45" s="26"/>
      <c r="G45" s="61"/>
      <c r="H45" s="26"/>
      <c r="I45" s="27"/>
      <c r="J45" s="27"/>
      <c r="K45" s="25"/>
      <c r="L45" s="25"/>
      <c r="M45" s="26"/>
      <c r="N45" s="27"/>
      <c r="O45" s="28"/>
      <c r="P45" s="29"/>
      <c r="Q45" s="195"/>
      <c r="R45" s="195"/>
      <c r="S45" s="195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</row>
    <row r="46" spans="1:69" s="184" customFormat="1" ht="22.5" x14ac:dyDescent="0.15">
      <c r="A46" s="334"/>
      <c r="B46" s="176"/>
      <c r="C46" s="187" t="s">
        <v>682</v>
      </c>
      <c r="D46" s="121" t="s">
        <v>45</v>
      </c>
      <c r="E46" s="126">
        <f>ROUND(E43/0.7,0)</f>
        <v>138</v>
      </c>
      <c r="F46" s="26"/>
      <c r="G46" s="61"/>
      <c r="H46" s="26"/>
      <c r="I46" s="27"/>
      <c r="J46" s="27"/>
      <c r="K46" s="25"/>
      <c r="L46" s="25"/>
      <c r="M46" s="26"/>
      <c r="N46" s="27"/>
      <c r="O46" s="28"/>
      <c r="P46" s="29"/>
      <c r="Q46" s="195"/>
      <c r="R46" s="195"/>
      <c r="S46" s="195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  <c r="BO46" s="102"/>
      <c r="BP46" s="102"/>
      <c r="BQ46" s="102"/>
    </row>
    <row r="47" spans="1:69" s="184" customFormat="1" ht="22.5" x14ac:dyDescent="0.15">
      <c r="A47" s="334"/>
      <c r="B47" s="186"/>
      <c r="C47" s="187" t="s">
        <v>333</v>
      </c>
      <c r="D47" s="121" t="s">
        <v>44</v>
      </c>
      <c r="E47" s="126">
        <f>E43</f>
        <v>96.7</v>
      </c>
      <c r="F47" s="26"/>
      <c r="G47" s="61"/>
      <c r="H47" s="26"/>
      <c r="I47" s="27"/>
      <c r="J47" s="27"/>
      <c r="K47" s="25"/>
      <c r="L47" s="25"/>
      <c r="M47" s="26"/>
      <c r="N47" s="27"/>
      <c r="O47" s="28"/>
      <c r="P47" s="29"/>
      <c r="Q47" s="195"/>
      <c r="R47" s="195"/>
      <c r="S47" s="195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</row>
    <row r="48" spans="1:69" s="184" customFormat="1" ht="11.25" x14ac:dyDescent="0.15">
      <c r="A48" s="334" t="s">
        <v>316</v>
      </c>
      <c r="B48" s="176"/>
      <c r="C48" s="236" t="s">
        <v>337</v>
      </c>
      <c r="D48" s="121" t="s">
        <v>44</v>
      </c>
      <c r="E48" s="126">
        <v>32.799999999999997</v>
      </c>
      <c r="F48" s="26"/>
      <c r="G48" s="61"/>
      <c r="H48" s="26"/>
      <c r="I48" s="27"/>
      <c r="J48" s="27"/>
      <c r="K48" s="25"/>
      <c r="L48" s="25"/>
      <c r="M48" s="26"/>
      <c r="N48" s="27"/>
      <c r="O48" s="28"/>
      <c r="P48" s="29"/>
      <c r="Q48" s="195"/>
      <c r="R48" s="195"/>
      <c r="S48" s="195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</row>
    <row r="49" spans="1:69" s="184" customFormat="1" ht="11.25" x14ac:dyDescent="0.15">
      <c r="A49" s="334"/>
      <c r="B49" s="186"/>
      <c r="C49" s="187" t="s">
        <v>683</v>
      </c>
      <c r="D49" s="121" t="s">
        <v>45</v>
      </c>
      <c r="E49" s="126">
        <v>10</v>
      </c>
      <c r="F49" s="26"/>
      <c r="G49" s="61"/>
      <c r="H49" s="26"/>
      <c r="I49" s="27"/>
      <c r="J49" s="27"/>
      <c r="K49" s="25"/>
      <c r="L49" s="25"/>
      <c r="M49" s="26"/>
      <c r="N49" s="27"/>
      <c r="O49" s="28"/>
      <c r="P49" s="29"/>
      <c r="Q49" s="195"/>
      <c r="R49" s="195"/>
      <c r="S49" s="195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69" s="184" customFormat="1" ht="11.25" x14ac:dyDescent="0.15">
      <c r="A50" s="334"/>
      <c r="B50" s="186"/>
      <c r="C50" s="187" t="s">
        <v>684</v>
      </c>
      <c r="D50" s="121" t="s">
        <v>44</v>
      </c>
      <c r="E50" s="126">
        <f>ROUND(E48*1.1,1)</f>
        <v>36.1</v>
      </c>
      <c r="F50" s="26"/>
      <c r="G50" s="61"/>
      <c r="H50" s="26"/>
      <c r="I50" s="27"/>
      <c r="J50" s="27"/>
      <c r="K50" s="25"/>
      <c r="L50" s="25"/>
      <c r="M50" s="26"/>
      <c r="N50" s="27"/>
      <c r="O50" s="28"/>
      <c r="P50" s="29"/>
      <c r="Q50" s="195"/>
      <c r="R50" s="195"/>
      <c r="S50" s="195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</row>
    <row r="51" spans="1:69" s="184" customFormat="1" ht="11.25" x14ac:dyDescent="0.15">
      <c r="A51" s="334"/>
      <c r="B51" s="186"/>
      <c r="C51" s="187" t="s">
        <v>685</v>
      </c>
      <c r="D51" s="121" t="s">
        <v>45</v>
      </c>
      <c r="E51" s="126">
        <f>E49*2</f>
        <v>20</v>
      </c>
      <c r="F51" s="26"/>
      <c r="G51" s="61"/>
      <c r="H51" s="26"/>
      <c r="I51" s="27"/>
      <c r="J51" s="27"/>
      <c r="K51" s="25"/>
      <c r="L51" s="25"/>
      <c r="M51" s="26"/>
      <c r="N51" s="27"/>
      <c r="O51" s="28"/>
      <c r="P51" s="29"/>
      <c r="Q51" s="195"/>
      <c r="R51" s="195"/>
      <c r="S51" s="195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</row>
    <row r="52" spans="1:69" s="184" customFormat="1" ht="22.5" x14ac:dyDescent="0.15">
      <c r="A52" s="334"/>
      <c r="B52" s="186"/>
      <c r="C52" s="187" t="s">
        <v>686</v>
      </c>
      <c r="D52" s="121" t="s">
        <v>45</v>
      </c>
      <c r="E52" s="126">
        <f>E49</f>
        <v>10</v>
      </c>
      <c r="F52" s="26"/>
      <c r="G52" s="61"/>
      <c r="H52" s="26"/>
      <c r="I52" s="27"/>
      <c r="J52" s="27"/>
      <c r="K52" s="25"/>
      <c r="L52" s="25"/>
      <c r="M52" s="26"/>
      <c r="N52" s="27"/>
      <c r="O52" s="28"/>
      <c r="P52" s="29"/>
      <c r="Q52" s="195"/>
      <c r="R52" s="195"/>
      <c r="S52" s="195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</row>
    <row r="53" spans="1:69" s="184" customFormat="1" ht="11.25" x14ac:dyDescent="0.15">
      <c r="A53" s="334"/>
      <c r="B53" s="182"/>
      <c r="C53" s="187" t="s">
        <v>687</v>
      </c>
      <c r="D53" s="121" t="s">
        <v>45</v>
      </c>
      <c r="E53" s="126">
        <f>E49*4</f>
        <v>40</v>
      </c>
      <c r="F53" s="26"/>
      <c r="G53" s="61"/>
      <c r="H53" s="26"/>
      <c r="I53" s="27"/>
      <c r="J53" s="27"/>
      <c r="K53" s="25"/>
      <c r="L53" s="25"/>
      <c r="M53" s="26"/>
      <c r="N53" s="27"/>
      <c r="O53" s="28"/>
      <c r="P53" s="29"/>
      <c r="Q53" s="195"/>
      <c r="R53" s="195"/>
      <c r="S53" s="195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  <c r="BP53" s="102"/>
      <c r="BQ53" s="102"/>
    </row>
    <row r="54" spans="1:69" s="184" customFormat="1" ht="22.5" x14ac:dyDescent="0.15">
      <c r="A54" s="334"/>
      <c r="B54" s="176"/>
      <c r="C54" s="187" t="s">
        <v>333</v>
      </c>
      <c r="D54" s="121" t="s">
        <v>44</v>
      </c>
      <c r="E54" s="126">
        <f>E48</f>
        <v>32.799999999999997</v>
      </c>
      <c r="F54" s="26"/>
      <c r="G54" s="61"/>
      <c r="H54" s="26"/>
      <c r="I54" s="27"/>
      <c r="J54" s="27"/>
      <c r="K54" s="25"/>
      <c r="L54" s="25"/>
      <c r="M54" s="26"/>
      <c r="N54" s="27"/>
      <c r="O54" s="28"/>
      <c r="P54" s="29"/>
      <c r="Q54" s="195"/>
      <c r="R54" s="195"/>
      <c r="S54" s="195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2"/>
      <c r="BQ54" s="102"/>
    </row>
    <row r="55" spans="1:69" s="184" customFormat="1" ht="12.75" x14ac:dyDescent="0.15">
      <c r="A55" s="334"/>
      <c r="B55" s="182"/>
      <c r="C55" s="235" t="s">
        <v>276</v>
      </c>
      <c r="D55" s="121"/>
      <c r="E55" s="126"/>
      <c r="F55" s="26"/>
      <c r="G55" s="61"/>
      <c r="H55" s="26"/>
      <c r="I55" s="27"/>
      <c r="J55" s="27"/>
      <c r="K55" s="25"/>
      <c r="L55" s="25"/>
      <c r="M55" s="26"/>
      <c r="N55" s="27"/>
      <c r="O55" s="28"/>
      <c r="P55" s="29"/>
      <c r="Q55" s="195"/>
      <c r="R55" s="195"/>
      <c r="S55" s="195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</row>
    <row r="56" spans="1:69" s="184" customFormat="1" ht="22.5" x14ac:dyDescent="0.15">
      <c r="A56" s="334" t="s">
        <v>554</v>
      </c>
      <c r="B56" s="186"/>
      <c r="C56" s="236" t="s">
        <v>586</v>
      </c>
      <c r="D56" s="121" t="s">
        <v>44</v>
      </c>
      <c r="E56" s="126">
        <v>96.7</v>
      </c>
      <c r="F56" s="26"/>
      <c r="G56" s="61"/>
      <c r="H56" s="26"/>
      <c r="I56" s="27"/>
      <c r="J56" s="27"/>
      <c r="K56" s="25"/>
      <c r="L56" s="25"/>
      <c r="M56" s="26"/>
      <c r="N56" s="27"/>
      <c r="O56" s="28"/>
      <c r="P56" s="29"/>
      <c r="Q56" s="195"/>
      <c r="R56" s="195"/>
      <c r="S56" s="195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</row>
    <row r="57" spans="1:69" s="184" customFormat="1" ht="11.25" x14ac:dyDescent="0.15">
      <c r="A57" s="334"/>
      <c r="B57" s="186"/>
      <c r="C57" s="187" t="s">
        <v>587</v>
      </c>
      <c r="D57" s="121" t="s">
        <v>44</v>
      </c>
      <c r="E57" s="126">
        <f>E56</f>
        <v>96.7</v>
      </c>
      <c r="F57" s="26"/>
      <c r="G57" s="61"/>
      <c r="H57" s="26"/>
      <c r="I57" s="27"/>
      <c r="J57" s="27"/>
      <c r="K57" s="25"/>
      <c r="L57" s="25"/>
      <c r="M57" s="26"/>
      <c r="N57" s="27"/>
      <c r="O57" s="28"/>
      <c r="P57" s="29"/>
      <c r="Q57" s="195"/>
      <c r="R57" s="195"/>
      <c r="S57" s="195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</row>
    <row r="58" spans="1:69" s="184" customFormat="1" ht="23.25" thickBot="1" x14ac:dyDescent="0.2">
      <c r="A58" s="334"/>
      <c r="B58" s="186"/>
      <c r="C58" s="187" t="s">
        <v>333</v>
      </c>
      <c r="D58" s="121" t="s">
        <v>44</v>
      </c>
      <c r="E58" s="126">
        <f>E56</f>
        <v>96.7</v>
      </c>
      <c r="F58" s="26"/>
      <c r="G58" s="61"/>
      <c r="H58" s="26"/>
      <c r="I58" s="27"/>
      <c r="J58" s="27"/>
      <c r="K58" s="25"/>
      <c r="L58" s="25"/>
      <c r="M58" s="26"/>
      <c r="N58" s="27"/>
      <c r="O58" s="28"/>
      <c r="P58" s="29"/>
      <c r="Q58" s="195"/>
      <c r="R58" s="195"/>
      <c r="S58" s="195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</row>
    <row r="59" spans="1:69" ht="15" customHeight="1" thickBo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2" t="s">
        <v>130</v>
      </c>
      <c r="L59" s="33">
        <f>ROUND(SUM(L15:L58),2)</f>
        <v>0</v>
      </c>
      <c r="M59" s="33">
        <f>ROUND(SUM(M15:M58),2)</f>
        <v>0</v>
      </c>
      <c r="N59" s="34">
        <f>ROUND(SUM(N15:N58),2)</f>
        <v>0</v>
      </c>
      <c r="O59" s="35">
        <f>ROUND(SUM(O15:O58),2)</f>
        <v>0</v>
      </c>
      <c r="P59" s="36">
        <f>ROUND(SUM(P15:P58),2)</f>
        <v>0</v>
      </c>
    </row>
    <row r="60" spans="1:69" ht="34.9" customHeight="1" x14ac:dyDescent="0.2">
      <c r="A60" s="37"/>
      <c r="B60" s="7"/>
      <c r="C60" s="38"/>
      <c r="D60" s="39"/>
      <c r="E60" s="5"/>
      <c r="F60" s="5"/>
      <c r="G60" s="5"/>
      <c r="H60" s="7"/>
      <c r="I60" s="7"/>
      <c r="J60" s="7"/>
      <c r="K60" s="7"/>
      <c r="L60" s="7"/>
      <c r="M60" s="7"/>
      <c r="N60" s="7"/>
      <c r="O60" s="7"/>
      <c r="P60" s="7"/>
    </row>
    <row r="61" spans="1:69" x14ac:dyDescent="0.2">
      <c r="A61" s="40"/>
      <c r="B61" s="41"/>
      <c r="C61" s="41" t="s">
        <v>10</v>
      </c>
      <c r="D61" s="42"/>
      <c r="E61" s="43"/>
      <c r="F61" s="44"/>
      <c r="G61" s="42"/>
      <c r="H61" s="45">
        <f>Kopsavilkums!C$43</f>
        <v>0</v>
      </c>
      <c r="I61" s="46" t="str">
        <f>Kopsavilkums!D$43</f>
        <v>datums</v>
      </c>
      <c r="J61" s="46"/>
      <c r="K61" s="41" t="s">
        <v>11</v>
      </c>
      <c r="L61" s="47"/>
      <c r="M61" s="44"/>
      <c r="N61" s="44"/>
      <c r="O61" s="45">
        <f>Kopsavilkums!C$48</f>
        <v>0</v>
      </c>
      <c r="P61" s="46" t="str">
        <f>Kopsavilkums!D$48</f>
        <v>datums</v>
      </c>
    </row>
    <row r="62" spans="1:69" x14ac:dyDescent="0.2">
      <c r="A62" s="48"/>
      <c r="B62" s="49"/>
      <c r="C62" s="50"/>
      <c r="D62" s="407" t="s">
        <v>12</v>
      </c>
      <c r="E62" s="407"/>
      <c r="F62" s="407"/>
      <c r="G62" s="407"/>
      <c r="H62" s="407"/>
      <c r="I62" s="7"/>
      <c r="J62" s="7"/>
      <c r="K62" s="7"/>
      <c r="L62" s="407" t="s">
        <v>12</v>
      </c>
      <c r="M62" s="407"/>
      <c r="N62" s="407"/>
      <c r="O62" s="407"/>
      <c r="P62" s="7"/>
    </row>
    <row r="63" spans="1:69" s="54" customFormat="1" x14ac:dyDescent="0.2">
      <c r="A63" s="37"/>
      <c r="B63" s="7"/>
      <c r="C63" s="38"/>
      <c r="D63" s="5"/>
      <c r="E63" s="5"/>
      <c r="F63" s="5"/>
      <c r="G63" s="5"/>
      <c r="H63" s="7"/>
      <c r="I63" s="7"/>
      <c r="J63" s="7"/>
      <c r="K63" s="7"/>
      <c r="L63" s="7"/>
      <c r="M63" s="7"/>
      <c r="N63" s="7"/>
      <c r="O63" s="7"/>
      <c r="P63" s="7"/>
      <c r="Q63" s="195"/>
      <c r="R63" s="195"/>
      <c r="S63" s="195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BO63" s="4"/>
      <c r="BP63" s="4"/>
      <c r="BQ63" s="4"/>
    </row>
    <row r="64" spans="1:69" s="54" customFormat="1" x14ac:dyDescent="0.2">
      <c r="A64" s="51"/>
      <c r="B64" s="46"/>
      <c r="C64" s="52"/>
      <c r="D64" s="52" t="str">
        <f>Kopsavilkums!B$46</f>
        <v>-</v>
      </c>
      <c r="E64" s="5"/>
      <c r="F64" s="5"/>
      <c r="G64" s="5"/>
      <c r="H64" s="7"/>
      <c r="I64" s="7"/>
      <c r="J64" s="7"/>
      <c r="K64" s="7"/>
      <c r="L64" s="52" t="str">
        <f>Kopsavilkums!B$51</f>
        <v>Sert.Nr.</v>
      </c>
      <c r="M64" s="53"/>
      <c r="N64" s="7"/>
      <c r="O64" s="7"/>
      <c r="P64" s="7"/>
      <c r="Q64" s="195"/>
      <c r="R64" s="195"/>
      <c r="S64" s="195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BO64" s="4"/>
      <c r="BP64" s="4"/>
      <c r="BQ64" s="4"/>
    </row>
    <row r="65" spans="17:45" s="54" customFormat="1" x14ac:dyDescent="0.25">
      <c r="Q65" s="195"/>
      <c r="R65" s="195"/>
      <c r="S65" s="195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</row>
    <row r="66" spans="17:45" s="54" customFormat="1" x14ac:dyDescent="0.25">
      <c r="Q66" s="195"/>
      <c r="R66" s="195"/>
      <c r="S66" s="195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</row>
    <row r="67" spans="17:45" s="54" customFormat="1" x14ac:dyDescent="0.25">
      <c r="Q67" s="195"/>
      <c r="R67" s="195"/>
      <c r="S67" s="195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</row>
    <row r="68" spans="17:45" s="54" customFormat="1" x14ac:dyDescent="0.25">
      <c r="Q68" s="195"/>
      <c r="R68" s="195"/>
      <c r="S68" s="195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</row>
    <row r="69" spans="17:45" s="54" customFormat="1" x14ac:dyDescent="0.25">
      <c r="Q69" s="195"/>
      <c r="R69" s="195"/>
      <c r="S69" s="195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</row>
    <row r="70" spans="17:45" s="54" customFormat="1" x14ac:dyDescent="0.25">
      <c r="Q70" s="195"/>
      <c r="R70" s="195"/>
      <c r="S70" s="195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</row>
    <row r="71" spans="17:45" s="54" customFormat="1" x14ac:dyDescent="0.25">
      <c r="Q71" s="195"/>
      <c r="R71" s="195"/>
      <c r="S71" s="195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</row>
    <row r="72" spans="17:45" s="54" customFormat="1" x14ac:dyDescent="0.25">
      <c r="Q72" s="195"/>
      <c r="R72" s="195"/>
      <c r="S72" s="195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</row>
    <row r="73" spans="17:45" s="54" customFormat="1" x14ac:dyDescent="0.25">
      <c r="Q73" s="195"/>
      <c r="R73" s="195"/>
      <c r="S73" s="195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</row>
    <row r="74" spans="17:45" s="54" customFormat="1" x14ac:dyDescent="0.25">
      <c r="Q74" s="195"/>
      <c r="R74" s="195"/>
      <c r="S74" s="195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</row>
    <row r="75" spans="17:45" s="54" customFormat="1" x14ac:dyDescent="0.25">
      <c r="Q75" s="195"/>
      <c r="R75" s="195"/>
      <c r="S75" s="195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</row>
    <row r="76" spans="17:45" s="54" customFormat="1" x14ac:dyDescent="0.25">
      <c r="Q76" s="195"/>
      <c r="R76" s="195"/>
      <c r="S76" s="195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</row>
    <row r="77" spans="17:45" s="54" customFormat="1" x14ac:dyDescent="0.25">
      <c r="Q77" s="195"/>
      <c r="R77" s="195"/>
      <c r="S77" s="195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</row>
    <row r="78" spans="17:45" s="54" customFormat="1" x14ac:dyDescent="0.25">
      <c r="Q78" s="195"/>
      <c r="R78" s="195"/>
      <c r="S78" s="195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</row>
    <row r="79" spans="17:45" s="54" customFormat="1" x14ac:dyDescent="0.25">
      <c r="Q79" s="195"/>
      <c r="R79" s="195"/>
      <c r="S79" s="195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</row>
    <row r="80" spans="17:45" s="54" customFormat="1" x14ac:dyDescent="0.25">
      <c r="Q80" s="195"/>
      <c r="R80" s="195"/>
      <c r="S80" s="195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</row>
    <row r="81" spans="17:45" s="54" customFormat="1" x14ac:dyDescent="0.25">
      <c r="Q81" s="195"/>
      <c r="R81" s="195"/>
      <c r="S81" s="195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</row>
    <row r="82" spans="17:45" s="54" customFormat="1" x14ac:dyDescent="0.25">
      <c r="Q82" s="195"/>
      <c r="R82" s="195"/>
      <c r="S82" s="195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</row>
    <row r="83" spans="17:45" s="54" customFormat="1" x14ac:dyDescent="0.25">
      <c r="Q83" s="195"/>
      <c r="R83" s="195"/>
      <c r="S83" s="195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</row>
    <row r="84" spans="17:45" s="54" customFormat="1" x14ac:dyDescent="0.25">
      <c r="Q84" s="195"/>
      <c r="R84" s="195"/>
      <c r="S84" s="195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</row>
    <row r="85" spans="17:45" s="54" customFormat="1" x14ac:dyDescent="0.25">
      <c r="Q85" s="195"/>
      <c r="R85" s="195"/>
      <c r="S85" s="195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</row>
    <row r="86" spans="17:45" s="54" customFormat="1" x14ac:dyDescent="0.25">
      <c r="Q86" s="195"/>
      <c r="R86" s="195"/>
      <c r="S86" s="195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</row>
    <row r="87" spans="17:45" s="54" customFormat="1" x14ac:dyDescent="0.25">
      <c r="Q87" s="195"/>
      <c r="R87" s="195"/>
      <c r="S87" s="195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</row>
    <row r="88" spans="17:45" s="54" customFormat="1" x14ac:dyDescent="0.25">
      <c r="Q88" s="195"/>
      <c r="R88" s="195"/>
      <c r="S88" s="195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</row>
    <row r="89" spans="17:45" s="54" customFormat="1" x14ac:dyDescent="0.25">
      <c r="Q89" s="195"/>
      <c r="R89" s="195"/>
      <c r="S89" s="195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</row>
    <row r="90" spans="17:45" s="54" customFormat="1" x14ac:dyDescent="0.25">
      <c r="Q90" s="195"/>
      <c r="R90" s="195"/>
      <c r="S90" s="195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</row>
    <row r="91" spans="17:45" s="54" customFormat="1" x14ac:dyDescent="0.25">
      <c r="Q91" s="195"/>
      <c r="R91" s="195"/>
      <c r="S91" s="195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</row>
    <row r="92" spans="17:45" s="54" customFormat="1" x14ac:dyDescent="0.25">
      <c r="Q92" s="195"/>
      <c r="R92" s="195"/>
      <c r="S92" s="195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</row>
    <row r="93" spans="17:45" s="54" customFormat="1" x14ac:dyDescent="0.25">
      <c r="Q93" s="195"/>
      <c r="R93" s="195"/>
      <c r="S93" s="195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</row>
    <row r="94" spans="17:45" s="54" customFormat="1" x14ac:dyDescent="0.25">
      <c r="Q94" s="195"/>
      <c r="R94" s="195"/>
      <c r="S94" s="195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</row>
    <row r="95" spans="17:45" s="54" customFormat="1" x14ac:dyDescent="0.25">
      <c r="Q95" s="195"/>
      <c r="R95" s="195"/>
      <c r="S95" s="195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</row>
    <row r="96" spans="17:45" s="54" customFormat="1" x14ac:dyDescent="0.25">
      <c r="Q96" s="195"/>
      <c r="R96" s="195"/>
      <c r="S96" s="195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</row>
    <row r="97" spans="17:45" s="54" customFormat="1" x14ac:dyDescent="0.25">
      <c r="Q97" s="195"/>
      <c r="R97" s="195"/>
      <c r="S97" s="195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</row>
    <row r="98" spans="17:45" s="54" customFormat="1" x14ac:dyDescent="0.25">
      <c r="Q98" s="195"/>
      <c r="R98" s="195"/>
      <c r="S98" s="195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</row>
    <row r="99" spans="17:45" s="54" customFormat="1" x14ac:dyDescent="0.25">
      <c r="Q99" s="195"/>
      <c r="R99" s="195"/>
      <c r="S99" s="195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</row>
    <row r="100" spans="17:45" s="54" customFormat="1" x14ac:dyDescent="0.25">
      <c r="Q100" s="195"/>
      <c r="R100" s="195"/>
      <c r="S100" s="195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</row>
    <row r="101" spans="17:45" s="54" customFormat="1" x14ac:dyDescent="0.25">
      <c r="Q101" s="195"/>
      <c r="R101" s="195"/>
      <c r="S101" s="195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</row>
    <row r="102" spans="17:45" s="54" customFormat="1" x14ac:dyDescent="0.25">
      <c r="Q102" s="195"/>
      <c r="R102" s="195"/>
      <c r="S102" s="195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</row>
    <row r="103" spans="17:45" s="54" customFormat="1" x14ac:dyDescent="0.25">
      <c r="Q103" s="195"/>
      <c r="R103" s="195"/>
      <c r="S103" s="195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</row>
    <row r="104" spans="17:45" s="54" customFormat="1" x14ac:dyDescent="0.25">
      <c r="Q104" s="195"/>
      <c r="R104" s="195"/>
      <c r="S104" s="195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</row>
    <row r="105" spans="17:45" s="54" customFormat="1" x14ac:dyDescent="0.25">
      <c r="Q105" s="195"/>
      <c r="R105" s="195"/>
      <c r="S105" s="195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</row>
    <row r="106" spans="17:45" s="54" customFormat="1" x14ac:dyDescent="0.25">
      <c r="Q106" s="195"/>
      <c r="R106" s="195"/>
      <c r="S106" s="195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</row>
    <row r="107" spans="17:45" s="54" customFormat="1" x14ac:dyDescent="0.25">
      <c r="Q107" s="195"/>
      <c r="R107" s="195"/>
      <c r="S107" s="195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</row>
    <row r="108" spans="17:45" s="54" customFormat="1" x14ac:dyDescent="0.25">
      <c r="Q108" s="195"/>
      <c r="R108" s="195"/>
      <c r="S108" s="195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</row>
    <row r="109" spans="17:45" s="54" customFormat="1" x14ac:dyDescent="0.25">
      <c r="Q109" s="195"/>
      <c r="R109" s="195"/>
      <c r="S109" s="195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</row>
    <row r="110" spans="17:45" s="54" customFormat="1" x14ac:dyDescent="0.25">
      <c r="Q110" s="195"/>
      <c r="R110" s="195"/>
      <c r="S110" s="195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</row>
    <row r="111" spans="17:45" s="54" customFormat="1" x14ac:dyDescent="0.25">
      <c r="Q111" s="195"/>
      <c r="R111" s="195"/>
      <c r="S111" s="195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</row>
    <row r="112" spans="17:45" s="54" customFormat="1" x14ac:dyDescent="0.25">
      <c r="Q112" s="195"/>
      <c r="R112" s="195"/>
      <c r="S112" s="195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</row>
    <row r="113" spans="17:45" s="54" customFormat="1" x14ac:dyDescent="0.25">
      <c r="Q113" s="195"/>
      <c r="R113" s="195"/>
      <c r="S113" s="195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</row>
    <row r="114" spans="17:45" s="54" customFormat="1" x14ac:dyDescent="0.25">
      <c r="Q114" s="195"/>
      <c r="R114" s="195"/>
      <c r="S114" s="195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</row>
    <row r="115" spans="17:45" s="54" customFormat="1" x14ac:dyDescent="0.25">
      <c r="Q115" s="195"/>
      <c r="R115" s="195"/>
      <c r="S115" s="195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</row>
    <row r="116" spans="17:45" s="54" customFormat="1" x14ac:dyDescent="0.25">
      <c r="Q116" s="195"/>
      <c r="R116" s="195"/>
      <c r="S116" s="195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</row>
    <row r="117" spans="17:45" s="54" customFormat="1" x14ac:dyDescent="0.25">
      <c r="Q117" s="195"/>
      <c r="R117" s="195"/>
      <c r="S117" s="195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</row>
    <row r="118" spans="17:45" s="54" customFormat="1" x14ac:dyDescent="0.25">
      <c r="Q118" s="195"/>
      <c r="R118" s="195"/>
      <c r="S118" s="195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</row>
    <row r="119" spans="17:45" s="54" customFormat="1" x14ac:dyDescent="0.25">
      <c r="Q119" s="195"/>
      <c r="R119" s="195"/>
      <c r="S119" s="195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</row>
    <row r="120" spans="17:45" s="54" customFormat="1" x14ac:dyDescent="0.25">
      <c r="Q120" s="195"/>
      <c r="R120" s="195"/>
      <c r="S120" s="195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</row>
    <row r="121" spans="17:45" s="54" customFormat="1" x14ac:dyDescent="0.25">
      <c r="Q121" s="195"/>
      <c r="R121" s="195"/>
      <c r="S121" s="195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</row>
    <row r="122" spans="17:45" s="54" customFormat="1" x14ac:dyDescent="0.25">
      <c r="Q122" s="195"/>
      <c r="R122" s="195"/>
      <c r="S122" s="195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</row>
    <row r="123" spans="17:45" s="54" customFormat="1" x14ac:dyDescent="0.25">
      <c r="Q123" s="195"/>
      <c r="R123" s="195"/>
      <c r="S123" s="195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</row>
    <row r="124" spans="17:45" s="54" customFormat="1" x14ac:dyDescent="0.25">
      <c r="Q124" s="195"/>
      <c r="R124" s="195"/>
      <c r="S124" s="195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</row>
    <row r="125" spans="17:45" s="54" customFormat="1" x14ac:dyDescent="0.25">
      <c r="Q125" s="195"/>
      <c r="R125" s="195"/>
      <c r="S125" s="195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</row>
    <row r="126" spans="17:45" s="54" customFormat="1" x14ac:dyDescent="0.25">
      <c r="Q126" s="195"/>
      <c r="R126" s="195"/>
      <c r="S126" s="195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</row>
    <row r="127" spans="17:45" s="54" customFormat="1" x14ac:dyDescent="0.25">
      <c r="Q127" s="195"/>
      <c r="R127" s="195"/>
      <c r="S127" s="195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</row>
    <row r="128" spans="17:45" s="54" customFormat="1" x14ac:dyDescent="0.25">
      <c r="Q128" s="195"/>
      <c r="R128" s="195"/>
      <c r="S128" s="195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</row>
    <row r="129" spans="17:45" s="54" customFormat="1" x14ac:dyDescent="0.25">
      <c r="Q129" s="195"/>
      <c r="R129" s="195"/>
      <c r="S129" s="195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</row>
    <row r="130" spans="17:45" s="54" customFormat="1" x14ac:dyDescent="0.25">
      <c r="Q130" s="195"/>
      <c r="R130" s="195"/>
      <c r="S130" s="195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</row>
    <row r="131" spans="17:45" s="54" customFormat="1" x14ac:dyDescent="0.25">
      <c r="Q131" s="195"/>
      <c r="R131" s="195"/>
      <c r="S131" s="195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</row>
    <row r="132" spans="17:45" s="54" customFormat="1" x14ac:dyDescent="0.25">
      <c r="Q132" s="195"/>
      <c r="R132" s="195"/>
      <c r="S132" s="195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</row>
    <row r="133" spans="17:45" s="54" customFormat="1" x14ac:dyDescent="0.25">
      <c r="Q133" s="195"/>
      <c r="R133" s="195"/>
      <c r="S133" s="195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</row>
    <row r="134" spans="17:45" s="54" customFormat="1" x14ac:dyDescent="0.25">
      <c r="Q134" s="195"/>
      <c r="R134" s="195"/>
      <c r="S134" s="195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</row>
    <row r="135" spans="17:45" s="54" customFormat="1" x14ac:dyDescent="0.25">
      <c r="Q135" s="195"/>
      <c r="R135" s="195"/>
      <c r="S135" s="195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</row>
    <row r="136" spans="17:45" s="54" customFormat="1" x14ac:dyDescent="0.25">
      <c r="Q136" s="195"/>
      <c r="R136" s="195"/>
      <c r="S136" s="195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</row>
    <row r="137" spans="17:45" s="54" customFormat="1" x14ac:dyDescent="0.25">
      <c r="Q137" s="195"/>
      <c r="R137" s="195"/>
      <c r="S137" s="195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</row>
    <row r="138" spans="17:45" s="54" customFormat="1" x14ac:dyDescent="0.25">
      <c r="Q138" s="195"/>
      <c r="R138" s="195"/>
      <c r="S138" s="195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</row>
    <row r="139" spans="17:45" s="54" customFormat="1" x14ac:dyDescent="0.25">
      <c r="Q139" s="195"/>
      <c r="R139" s="195"/>
      <c r="S139" s="195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</row>
    <row r="140" spans="17:45" s="54" customFormat="1" x14ac:dyDescent="0.25">
      <c r="Q140" s="195"/>
      <c r="R140" s="195"/>
      <c r="S140" s="195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</row>
    <row r="141" spans="17:45" s="54" customFormat="1" x14ac:dyDescent="0.25">
      <c r="Q141" s="195"/>
      <c r="R141" s="195"/>
      <c r="S141" s="195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</row>
    <row r="142" spans="17:45" s="54" customFormat="1" x14ac:dyDescent="0.25">
      <c r="Q142" s="195"/>
      <c r="R142" s="195"/>
      <c r="S142" s="195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</row>
    <row r="143" spans="17:45" s="54" customFormat="1" x14ac:dyDescent="0.25">
      <c r="Q143" s="195"/>
      <c r="R143" s="195"/>
      <c r="S143" s="195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</row>
    <row r="144" spans="17:45" s="54" customFormat="1" x14ac:dyDescent="0.25">
      <c r="Q144" s="195"/>
      <c r="R144" s="195"/>
      <c r="S144" s="195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</row>
    <row r="145" spans="17:45" s="54" customFormat="1" x14ac:dyDescent="0.25">
      <c r="Q145" s="195"/>
      <c r="R145" s="195"/>
      <c r="S145" s="195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</row>
    <row r="146" spans="17:45" s="54" customFormat="1" x14ac:dyDescent="0.25">
      <c r="Q146" s="195"/>
      <c r="R146" s="195"/>
      <c r="S146" s="195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</row>
    <row r="147" spans="17:45" s="54" customFormat="1" x14ac:dyDescent="0.25">
      <c r="Q147" s="195"/>
      <c r="R147" s="195"/>
      <c r="S147" s="195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</row>
    <row r="148" spans="17:45" s="54" customFormat="1" x14ac:dyDescent="0.25">
      <c r="Q148" s="195"/>
      <c r="R148" s="195"/>
      <c r="S148" s="195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</row>
    <row r="149" spans="17:45" s="54" customFormat="1" x14ac:dyDescent="0.25">
      <c r="Q149" s="195"/>
      <c r="R149" s="195"/>
      <c r="S149" s="195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</row>
    <row r="150" spans="17:45" s="54" customFormat="1" x14ac:dyDescent="0.25">
      <c r="Q150" s="195"/>
      <c r="R150" s="195"/>
      <c r="S150" s="195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</row>
    <row r="151" spans="17:45" s="54" customFormat="1" x14ac:dyDescent="0.25">
      <c r="Q151" s="195"/>
      <c r="R151" s="195"/>
      <c r="S151" s="195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</row>
    <row r="152" spans="17:45" s="54" customFormat="1" x14ac:dyDescent="0.25">
      <c r="Q152" s="195"/>
      <c r="R152" s="195"/>
      <c r="S152" s="195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</row>
    <row r="153" spans="17:45" s="54" customFormat="1" x14ac:dyDescent="0.25">
      <c r="Q153" s="195"/>
      <c r="R153" s="195"/>
      <c r="S153" s="195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</row>
    <row r="154" spans="17:45" s="54" customFormat="1" x14ac:dyDescent="0.25">
      <c r="Q154" s="195"/>
      <c r="R154" s="195"/>
      <c r="S154" s="195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</row>
    <row r="155" spans="17:45" s="54" customFormat="1" x14ac:dyDescent="0.25">
      <c r="Q155" s="195"/>
      <c r="R155" s="195"/>
      <c r="S155" s="195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</row>
    <row r="156" spans="17:45" s="54" customFormat="1" x14ac:dyDescent="0.25">
      <c r="Q156" s="195"/>
      <c r="R156" s="195"/>
      <c r="S156" s="195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</row>
    <row r="157" spans="17:45" s="54" customFormat="1" x14ac:dyDescent="0.25">
      <c r="Q157" s="195"/>
      <c r="R157" s="195"/>
      <c r="S157" s="195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</row>
    <row r="158" spans="17:45" s="54" customFormat="1" x14ac:dyDescent="0.25">
      <c r="Q158" s="195"/>
      <c r="R158" s="195"/>
      <c r="S158" s="195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</row>
    <row r="159" spans="17:45" s="54" customFormat="1" x14ac:dyDescent="0.25">
      <c r="Q159" s="195"/>
      <c r="R159" s="195"/>
      <c r="S159" s="195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</row>
    <row r="160" spans="17:45" s="54" customFormat="1" x14ac:dyDescent="0.25">
      <c r="Q160" s="195"/>
      <c r="R160" s="195"/>
      <c r="S160" s="195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</row>
    <row r="161" spans="17:45" s="54" customFormat="1" x14ac:dyDescent="0.25">
      <c r="Q161" s="195"/>
      <c r="R161" s="195"/>
      <c r="S161" s="195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</row>
    <row r="162" spans="17:45" s="54" customFormat="1" x14ac:dyDescent="0.25">
      <c r="Q162" s="195"/>
      <c r="R162" s="195"/>
      <c r="S162" s="195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</row>
    <row r="163" spans="17:45" s="54" customFormat="1" x14ac:dyDescent="0.25">
      <c r="Q163" s="195"/>
      <c r="R163" s="195"/>
      <c r="S163" s="195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</row>
    <row r="164" spans="17:45" s="54" customFormat="1" x14ac:dyDescent="0.25">
      <c r="Q164" s="195"/>
      <c r="R164" s="195"/>
      <c r="S164" s="195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</row>
    <row r="165" spans="17:45" s="54" customFormat="1" x14ac:dyDescent="0.25">
      <c r="Q165" s="195"/>
      <c r="R165" s="195"/>
      <c r="S165" s="195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</row>
    <row r="166" spans="17:45" s="54" customFormat="1" x14ac:dyDescent="0.25">
      <c r="Q166" s="195"/>
      <c r="R166" s="195"/>
      <c r="S166" s="195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</row>
    <row r="167" spans="17:45" s="54" customFormat="1" x14ac:dyDescent="0.25">
      <c r="Q167" s="195"/>
      <c r="R167" s="195"/>
      <c r="S167" s="195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</row>
    <row r="168" spans="17:45" s="54" customFormat="1" x14ac:dyDescent="0.25">
      <c r="Q168" s="195"/>
      <c r="R168" s="195"/>
      <c r="S168" s="195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</row>
    <row r="169" spans="17:45" s="54" customFormat="1" x14ac:dyDescent="0.25">
      <c r="Q169" s="195"/>
      <c r="R169" s="195"/>
      <c r="S169" s="195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</row>
    <row r="170" spans="17:45" s="54" customFormat="1" x14ac:dyDescent="0.25">
      <c r="Q170" s="195"/>
      <c r="R170" s="195"/>
      <c r="S170" s="195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</row>
    <row r="171" spans="17:45" s="54" customFormat="1" x14ac:dyDescent="0.25">
      <c r="Q171" s="195"/>
      <c r="R171" s="195"/>
      <c r="S171" s="195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</row>
    <row r="172" spans="17:45" s="54" customFormat="1" x14ac:dyDescent="0.25">
      <c r="Q172" s="195"/>
      <c r="R172" s="195"/>
      <c r="S172" s="195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</row>
    <row r="173" spans="17:45" s="54" customFormat="1" x14ac:dyDescent="0.25">
      <c r="Q173" s="195"/>
      <c r="R173" s="195"/>
      <c r="S173" s="195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</row>
    <row r="174" spans="17:45" s="54" customFormat="1" x14ac:dyDescent="0.25">
      <c r="Q174" s="195"/>
      <c r="R174" s="195"/>
      <c r="S174" s="195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</row>
    <row r="175" spans="17:45" s="54" customFormat="1" x14ac:dyDescent="0.25">
      <c r="Q175" s="195"/>
      <c r="R175" s="195"/>
      <c r="S175" s="195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</row>
    <row r="176" spans="17:45" s="54" customFormat="1" x14ac:dyDescent="0.25">
      <c r="Q176" s="195"/>
      <c r="R176" s="195"/>
      <c r="S176" s="195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</row>
    <row r="177" spans="17:45" s="54" customFormat="1" x14ac:dyDescent="0.25">
      <c r="Q177" s="195"/>
      <c r="R177" s="195"/>
      <c r="S177" s="195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</row>
    <row r="178" spans="17:45" s="54" customFormat="1" x14ac:dyDescent="0.25">
      <c r="Q178" s="195"/>
      <c r="R178" s="195"/>
      <c r="S178" s="195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</row>
    <row r="179" spans="17:45" s="54" customFormat="1" x14ac:dyDescent="0.25">
      <c r="Q179" s="195"/>
      <c r="R179" s="195"/>
      <c r="S179" s="195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</row>
    <row r="180" spans="17:45" s="54" customFormat="1" x14ac:dyDescent="0.25">
      <c r="Q180" s="195"/>
      <c r="R180" s="195"/>
      <c r="S180" s="195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</row>
    <row r="181" spans="17:45" s="54" customFormat="1" x14ac:dyDescent="0.25">
      <c r="Q181" s="195"/>
      <c r="R181" s="195"/>
      <c r="S181" s="195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</row>
    <row r="182" spans="17:45" s="54" customFormat="1" x14ac:dyDescent="0.25">
      <c r="Q182" s="195"/>
      <c r="R182" s="195"/>
      <c r="S182" s="195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</row>
    <row r="183" spans="17:45" s="54" customFormat="1" x14ac:dyDescent="0.25">
      <c r="Q183" s="195"/>
      <c r="R183" s="195"/>
      <c r="S183" s="195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</row>
    <row r="184" spans="17:45" s="54" customFormat="1" x14ac:dyDescent="0.25">
      <c r="Q184" s="195"/>
      <c r="R184" s="195"/>
      <c r="S184" s="195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</row>
    <row r="185" spans="17:45" s="54" customFormat="1" x14ac:dyDescent="0.25">
      <c r="Q185" s="195"/>
      <c r="R185" s="195"/>
      <c r="S185" s="195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</row>
    <row r="186" spans="17:45" s="54" customFormat="1" x14ac:dyDescent="0.25">
      <c r="Q186" s="195"/>
      <c r="R186" s="195"/>
      <c r="S186" s="195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</row>
    <row r="187" spans="17:45" s="54" customFormat="1" x14ac:dyDescent="0.25">
      <c r="Q187" s="195"/>
      <c r="R187" s="195"/>
      <c r="S187" s="195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</row>
    <row r="188" spans="17:45" s="54" customFormat="1" x14ac:dyDescent="0.25">
      <c r="Q188" s="195"/>
      <c r="R188" s="195"/>
      <c r="S188" s="195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</row>
    <row r="189" spans="17:45" s="54" customFormat="1" x14ac:dyDescent="0.25">
      <c r="Q189" s="195"/>
      <c r="R189" s="195"/>
      <c r="S189" s="195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</row>
    <row r="190" spans="17:45" s="54" customFormat="1" x14ac:dyDescent="0.25">
      <c r="Q190" s="195"/>
      <c r="R190" s="195"/>
      <c r="S190" s="195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</row>
    <row r="191" spans="17:45" s="54" customFormat="1" x14ac:dyDescent="0.25">
      <c r="Q191" s="195"/>
      <c r="R191" s="195"/>
      <c r="S191" s="195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</row>
    <row r="192" spans="17:45" s="54" customFormat="1" x14ac:dyDescent="0.25">
      <c r="Q192" s="195"/>
      <c r="R192" s="195"/>
      <c r="S192" s="195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</row>
    <row r="193" spans="17:45" s="54" customFormat="1" x14ac:dyDescent="0.25">
      <c r="Q193" s="195"/>
      <c r="R193" s="195"/>
      <c r="S193" s="195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</row>
    <row r="194" spans="17:45" s="54" customFormat="1" x14ac:dyDescent="0.25">
      <c r="Q194" s="195"/>
      <c r="R194" s="195"/>
      <c r="S194" s="195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</row>
    <row r="195" spans="17:45" s="54" customFormat="1" x14ac:dyDescent="0.25">
      <c r="Q195" s="195"/>
      <c r="R195" s="195"/>
      <c r="S195" s="195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</row>
    <row r="196" spans="17:45" s="54" customFormat="1" x14ac:dyDescent="0.25">
      <c r="Q196" s="195"/>
      <c r="R196" s="195"/>
      <c r="S196" s="195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</row>
    <row r="197" spans="17:45" s="54" customFormat="1" x14ac:dyDescent="0.25">
      <c r="Q197" s="195"/>
      <c r="R197" s="195"/>
      <c r="S197" s="195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</row>
    <row r="198" spans="17:45" s="54" customFormat="1" x14ac:dyDescent="0.25">
      <c r="Q198" s="195"/>
      <c r="R198" s="195"/>
      <c r="S198" s="195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</row>
    <row r="199" spans="17:45" s="54" customFormat="1" x14ac:dyDescent="0.25">
      <c r="Q199" s="195"/>
      <c r="R199" s="195"/>
      <c r="S199" s="195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</row>
    <row r="200" spans="17:45" s="54" customFormat="1" x14ac:dyDescent="0.25">
      <c r="Q200" s="195"/>
      <c r="R200" s="195"/>
      <c r="S200" s="195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</row>
    <row r="201" spans="17:45" s="54" customFormat="1" x14ac:dyDescent="0.25">
      <c r="Q201" s="195"/>
      <c r="R201" s="195"/>
      <c r="S201" s="195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</row>
    <row r="202" spans="17:45" s="54" customFormat="1" x14ac:dyDescent="0.25">
      <c r="Q202" s="195"/>
      <c r="R202" s="195"/>
      <c r="S202" s="195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</row>
    <row r="203" spans="17:45" s="54" customFormat="1" x14ac:dyDescent="0.25">
      <c r="Q203" s="195"/>
      <c r="R203" s="195"/>
      <c r="S203" s="195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</row>
    <row r="204" spans="17:45" s="54" customFormat="1" x14ac:dyDescent="0.25">
      <c r="Q204" s="195"/>
      <c r="R204" s="195"/>
      <c r="S204" s="195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</row>
    <row r="205" spans="17:45" s="54" customFormat="1" x14ac:dyDescent="0.25">
      <c r="Q205" s="195"/>
      <c r="R205" s="195"/>
      <c r="S205" s="195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</row>
    <row r="206" spans="17:45" s="54" customFormat="1" x14ac:dyDescent="0.25">
      <c r="Q206" s="195"/>
      <c r="R206" s="195"/>
      <c r="S206" s="195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</row>
    <row r="207" spans="17:45" s="54" customFormat="1" x14ac:dyDescent="0.25">
      <c r="Q207" s="195"/>
      <c r="R207" s="195"/>
      <c r="S207" s="195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</row>
    <row r="208" spans="17:45" s="54" customFormat="1" x14ac:dyDescent="0.25">
      <c r="Q208" s="195"/>
      <c r="R208" s="195"/>
      <c r="S208" s="195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</row>
    <row r="209" spans="17:45" s="54" customFormat="1" x14ac:dyDescent="0.25">
      <c r="Q209" s="195"/>
      <c r="R209" s="195"/>
      <c r="S209" s="195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</row>
    <row r="210" spans="17:45" s="54" customFormat="1" x14ac:dyDescent="0.25">
      <c r="Q210" s="195"/>
      <c r="R210" s="195"/>
      <c r="S210" s="195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</row>
    <row r="211" spans="17:45" s="54" customFormat="1" x14ac:dyDescent="0.25">
      <c r="Q211" s="195"/>
      <c r="R211" s="195"/>
      <c r="S211" s="195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</row>
    <row r="212" spans="17:45" s="54" customFormat="1" x14ac:dyDescent="0.25">
      <c r="Q212" s="195"/>
      <c r="R212" s="195"/>
      <c r="S212" s="195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</row>
    <row r="213" spans="17:45" s="54" customFormat="1" x14ac:dyDescent="0.25">
      <c r="Q213" s="195"/>
      <c r="R213" s="195"/>
      <c r="S213" s="195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</row>
    <row r="214" spans="17:45" s="54" customFormat="1" x14ac:dyDescent="0.25">
      <c r="Q214" s="195"/>
      <c r="R214" s="195"/>
      <c r="S214" s="195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</row>
    <row r="215" spans="17:45" s="54" customFormat="1" x14ac:dyDescent="0.25">
      <c r="Q215" s="195"/>
      <c r="R215" s="195"/>
      <c r="S215" s="195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</row>
    <row r="216" spans="17:45" s="54" customFormat="1" x14ac:dyDescent="0.25">
      <c r="Q216" s="195"/>
      <c r="R216" s="195"/>
      <c r="S216" s="195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</row>
    <row r="217" spans="17:45" s="54" customFormat="1" x14ac:dyDescent="0.25">
      <c r="Q217" s="195"/>
      <c r="R217" s="195"/>
      <c r="S217" s="195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</row>
    <row r="218" spans="17:45" s="54" customFormat="1" x14ac:dyDescent="0.25">
      <c r="Q218" s="195"/>
      <c r="R218" s="195"/>
      <c r="S218" s="195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</row>
    <row r="219" spans="17:45" s="54" customFormat="1" x14ac:dyDescent="0.25">
      <c r="Q219" s="195"/>
      <c r="R219" s="195"/>
      <c r="S219" s="195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</row>
    <row r="220" spans="17:45" s="54" customFormat="1" x14ac:dyDescent="0.25">
      <c r="Q220" s="195"/>
      <c r="R220" s="195"/>
      <c r="S220" s="195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</row>
    <row r="221" spans="17:45" s="54" customFormat="1" x14ac:dyDescent="0.25">
      <c r="Q221" s="195"/>
      <c r="R221" s="195"/>
      <c r="S221" s="195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</row>
    <row r="222" spans="17:45" s="54" customFormat="1" x14ac:dyDescent="0.25">
      <c r="Q222" s="195"/>
      <c r="R222" s="195"/>
      <c r="S222" s="195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</row>
    <row r="223" spans="17:45" s="54" customFormat="1" x14ac:dyDescent="0.25">
      <c r="Q223" s="195"/>
      <c r="R223" s="195"/>
      <c r="S223" s="195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</row>
    <row r="224" spans="17:45" s="54" customFormat="1" x14ac:dyDescent="0.25">
      <c r="Q224" s="195"/>
      <c r="R224" s="195"/>
      <c r="S224" s="195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</row>
    <row r="225" spans="17:45" s="54" customFormat="1" x14ac:dyDescent="0.25">
      <c r="Q225" s="195"/>
      <c r="R225" s="195"/>
      <c r="S225" s="195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</row>
    <row r="226" spans="17:45" s="54" customFormat="1" x14ac:dyDescent="0.25">
      <c r="Q226" s="195"/>
      <c r="R226" s="195"/>
      <c r="S226" s="195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</row>
    <row r="227" spans="17:45" s="54" customFormat="1" x14ac:dyDescent="0.25">
      <c r="Q227" s="195"/>
      <c r="R227" s="195"/>
      <c r="S227" s="195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</row>
    <row r="228" spans="17:45" s="54" customFormat="1" x14ac:dyDescent="0.25">
      <c r="Q228" s="195"/>
      <c r="R228" s="195"/>
      <c r="S228" s="195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</row>
    <row r="229" spans="17:45" s="54" customFormat="1" x14ac:dyDescent="0.25">
      <c r="Q229" s="195"/>
      <c r="R229" s="195"/>
      <c r="S229" s="195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</row>
    <row r="230" spans="17:45" s="54" customFormat="1" x14ac:dyDescent="0.25">
      <c r="Q230" s="195"/>
      <c r="R230" s="195"/>
      <c r="S230" s="195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</row>
    <row r="231" spans="17:45" s="54" customFormat="1" x14ac:dyDescent="0.25">
      <c r="Q231" s="195"/>
      <c r="R231" s="195"/>
      <c r="S231" s="195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</row>
    <row r="232" spans="17:45" s="54" customFormat="1" x14ac:dyDescent="0.25">
      <c r="Q232" s="195"/>
      <c r="R232" s="195"/>
      <c r="S232" s="195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</row>
    <row r="233" spans="17:45" s="54" customFormat="1" x14ac:dyDescent="0.25">
      <c r="Q233" s="195"/>
      <c r="R233" s="195"/>
      <c r="S233" s="195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</row>
    <row r="234" spans="17:45" s="54" customFormat="1" x14ac:dyDescent="0.25">
      <c r="Q234" s="195"/>
      <c r="R234" s="195"/>
      <c r="S234" s="195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</row>
    <row r="235" spans="17:45" s="54" customFormat="1" x14ac:dyDescent="0.25">
      <c r="Q235" s="195"/>
      <c r="R235" s="195"/>
      <c r="S235" s="195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</row>
    <row r="236" spans="17:45" s="54" customFormat="1" x14ac:dyDescent="0.25">
      <c r="Q236" s="195"/>
      <c r="R236" s="195"/>
      <c r="S236" s="195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</row>
    <row r="237" spans="17:45" s="54" customFormat="1" x14ac:dyDescent="0.25">
      <c r="Q237" s="195"/>
      <c r="R237" s="195"/>
      <c r="S237" s="195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</row>
    <row r="238" spans="17:45" s="54" customFormat="1" x14ac:dyDescent="0.25">
      <c r="Q238" s="195"/>
      <c r="R238" s="195"/>
      <c r="S238" s="195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</row>
    <row r="239" spans="17:45" s="54" customFormat="1" x14ac:dyDescent="0.25">
      <c r="Q239" s="195"/>
      <c r="R239" s="195"/>
      <c r="S239" s="195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</row>
    <row r="240" spans="17:45" s="54" customFormat="1" x14ac:dyDescent="0.25">
      <c r="Q240" s="195"/>
      <c r="R240" s="195"/>
      <c r="S240" s="195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</row>
    <row r="241" spans="17:45" s="54" customFormat="1" x14ac:dyDescent="0.25">
      <c r="Q241" s="195"/>
      <c r="R241" s="195"/>
      <c r="S241" s="195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</row>
    <row r="242" spans="17:45" s="54" customFormat="1" x14ac:dyDescent="0.25">
      <c r="Q242" s="195"/>
      <c r="R242" s="195"/>
      <c r="S242" s="195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</row>
    <row r="243" spans="17:45" s="54" customFormat="1" x14ac:dyDescent="0.25">
      <c r="Q243" s="195"/>
      <c r="R243" s="195"/>
      <c r="S243" s="195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</row>
    <row r="244" spans="17:45" s="54" customFormat="1" x14ac:dyDescent="0.25">
      <c r="Q244" s="195"/>
      <c r="R244" s="195"/>
      <c r="S244" s="195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</row>
    <row r="245" spans="17:45" s="54" customFormat="1" x14ac:dyDescent="0.25">
      <c r="Q245" s="195"/>
      <c r="R245" s="195"/>
      <c r="S245" s="195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</row>
    <row r="246" spans="17:45" s="54" customFormat="1" x14ac:dyDescent="0.25">
      <c r="Q246" s="195"/>
      <c r="R246" s="195"/>
      <c r="S246" s="195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</row>
    <row r="247" spans="17:45" s="54" customFormat="1" x14ac:dyDescent="0.25">
      <c r="Q247" s="195"/>
      <c r="R247" s="195"/>
      <c r="S247" s="195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</row>
    <row r="248" spans="17:45" s="54" customFormat="1" x14ac:dyDescent="0.25">
      <c r="Q248" s="195"/>
      <c r="R248" s="195"/>
      <c r="S248" s="195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</row>
    <row r="249" spans="17:45" s="54" customFormat="1" x14ac:dyDescent="0.25">
      <c r="Q249" s="195"/>
      <c r="R249" s="195"/>
      <c r="S249" s="195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</row>
    <row r="250" spans="17:45" s="54" customFormat="1" x14ac:dyDescent="0.25">
      <c r="Q250" s="195"/>
      <c r="R250" s="195"/>
      <c r="S250" s="195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</row>
    <row r="251" spans="17:45" s="54" customFormat="1" x14ac:dyDescent="0.25">
      <c r="Q251" s="195"/>
      <c r="R251" s="195"/>
      <c r="S251" s="195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</row>
    <row r="252" spans="17:45" s="54" customFormat="1" x14ac:dyDescent="0.25">
      <c r="Q252" s="195"/>
      <c r="R252" s="195"/>
      <c r="S252" s="195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</row>
    <row r="253" spans="17:45" s="54" customFormat="1" x14ac:dyDescent="0.25">
      <c r="Q253" s="195"/>
      <c r="R253" s="195"/>
      <c r="S253" s="195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</row>
    <row r="254" spans="17:45" s="54" customFormat="1" x14ac:dyDescent="0.25">
      <c r="Q254" s="195"/>
      <c r="R254" s="195"/>
      <c r="S254" s="195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</row>
    <row r="255" spans="17:45" s="54" customFormat="1" x14ac:dyDescent="0.25">
      <c r="Q255" s="195"/>
      <c r="R255" s="195"/>
      <c r="S255" s="195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</row>
    <row r="256" spans="17:45" s="54" customFormat="1" x14ac:dyDescent="0.25">
      <c r="Q256" s="195"/>
      <c r="R256" s="195"/>
      <c r="S256" s="195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</row>
    <row r="257" spans="17:45" s="54" customFormat="1" x14ac:dyDescent="0.25">
      <c r="Q257" s="195"/>
      <c r="R257" s="195"/>
      <c r="S257" s="195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</row>
    <row r="258" spans="17:45" s="54" customFormat="1" x14ac:dyDescent="0.25">
      <c r="Q258" s="195"/>
      <c r="R258" s="195"/>
      <c r="S258" s="195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</row>
    <row r="259" spans="17:45" s="54" customFormat="1" x14ac:dyDescent="0.25">
      <c r="Q259" s="195"/>
      <c r="R259" s="195"/>
      <c r="S259" s="195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</row>
    <row r="260" spans="17:45" s="54" customFormat="1" x14ac:dyDescent="0.25">
      <c r="Q260" s="195"/>
      <c r="R260" s="195"/>
      <c r="S260" s="195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</row>
    <row r="261" spans="17:45" s="54" customFormat="1" x14ac:dyDescent="0.25">
      <c r="Q261" s="195"/>
      <c r="R261" s="195"/>
      <c r="S261" s="195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</row>
    <row r="262" spans="17:45" s="54" customFormat="1" x14ac:dyDescent="0.25">
      <c r="Q262" s="195"/>
      <c r="R262" s="195"/>
      <c r="S262" s="195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</row>
    <row r="263" spans="17:45" s="54" customFormat="1" x14ac:dyDescent="0.25">
      <c r="Q263" s="195"/>
      <c r="R263" s="195"/>
      <c r="S263" s="195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</row>
    <row r="264" spans="17:45" s="54" customFormat="1" x14ac:dyDescent="0.25">
      <c r="Q264" s="195"/>
      <c r="R264" s="195"/>
      <c r="S264" s="195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</row>
    <row r="265" spans="17:45" s="54" customFormat="1" x14ac:dyDescent="0.25">
      <c r="Q265" s="195"/>
      <c r="R265" s="195"/>
      <c r="S265" s="195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</row>
    <row r="266" spans="17:45" s="54" customFormat="1" x14ac:dyDescent="0.25">
      <c r="Q266" s="195"/>
      <c r="R266" s="195"/>
      <c r="S266" s="195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</row>
    <row r="267" spans="17:45" s="54" customFormat="1" x14ac:dyDescent="0.25">
      <c r="Q267" s="195"/>
      <c r="R267" s="195"/>
      <c r="S267" s="195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</row>
    <row r="268" spans="17:45" s="54" customFormat="1" x14ac:dyDescent="0.25">
      <c r="Q268" s="195"/>
      <c r="R268" s="195"/>
      <c r="S268" s="195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</row>
    <row r="269" spans="17:45" s="54" customFormat="1" x14ac:dyDescent="0.25">
      <c r="Q269" s="195"/>
      <c r="R269" s="195"/>
      <c r="S269" s="195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</row>
    <row r="270" spans="17:45" s="54" customFormat="1" x14ac:dyDescent="0.25">
      <c r="Q270" s="195"/>
      <c r="R270" s="195"/>
      <c r="S270" s="195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</row>
    <row r="271" spans="17:45" s="54" customFormat="1" x14ac:dyDescent="0.25">
      <c r="Q271" s="195"/>
      <c r="R271" s="195"/>
      <c r="S271" s="195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</row>
    <row r="272" spans="17:45" s="54" customFormat="1" x14ac:dyDescent="0.25">
      <c r="Q272" s="195"/>
      <c r="R272" s="195"/>
      <c r="S272" s="195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</row>
    <row r="273" spans="17:45" s="54" customFormat="1" x14ac:dyDescent="0.25">
      <c r="Q273" s="195"/>
      <c r="R273" s="195"/>
      <c r="S273" s="195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</row>
    <row r="274" spans="17:45" s="54" customFormat="1" x14ac:dyDescent="0.25">
      <c r="Q274" s="195"/>
      <c r="R274" s="195"/>
      <c r="S274" s="195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</row>
    <row r="275" spans="17:45" s="54" customFormat="1" x14ac:dyDescent="0.25">
      <c r="Q275" s="195"/>
      <c r="R275" s="195"/>
      <c r="S275" s="195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</row>
    <row r="276" spans="17:45" s="54" customFormat="1" x14ac:dyDescent="0.25">
      <c r="Q276" s="195"/>
      <c r="R276" s="195"/>
      <c r="S276" s="195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</row>
    <row r="277" spans="17:45" s="54" customFormat="1" x14ac:dyDescent="0.25">
      <c r="Q277" s="195"/>
      <c r="R277" s="195"/>
      <c r="S277" s="195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</row>
    <row r="278" spans="17:45" s="54" customFormat="1" x14ac:dyDescent="0.25">
      <c r="Q278" s="195"/>
      <c r="R278" s="195"/>
      <c r="S278" s="195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</row>
    <row r="279" spans="17:45" s="54" customFormat="1" x14ac:dyDescent="0.25">
      <c r="Q279" s="195"/>
      <c r="R279" s="195"/>
      <c r="S279" s="195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</row>
    <row r="280" spans="17:45" s="54" customFormat="1" x14ac:dyDescent="0.25">
      <c r="Q280" s="195"/>
      <c r="R280" s="195"/>
      <c r="S280" s="195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</row>
    <row r="281" spans="17:45" s="54" customFormat="1" x14ac:dyDescent="0.25">
      <c r="Q281" s="195"/>
      <c r="R281" s="195"/>
      <c r="S281" s="195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</row>
    <row r="282" spans="17:45" s="54" customFormat="1" x14ac:dyDescent="0.25">
      <c r="Q282" s="195"/>
      <c r="R282" s="195"/>
      <c r="S282" s="195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</row>
    <row r="283" spans="17:45" s="54" customFormat="1" x14ac:dyDescent="0.25">
      <c r="Q283" s="195"/>
      <c r="R283" s="195"/>
      <c r="S283" s="195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</row>
    <row r="284" spans="17:45" s="54" customFormat="1" x14ac:dyDescent="0.25">
      <c r="Q284" s="195"/>
      <c r="R284" s="195"/>
      <c r="S284" s="195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</row>
    <row r="285" spans="17:45" s="54" customFormat="1" x14ac:dyDescent="0.25">
      <c r="Q285" s="195"/>
      <c r="R285" s="195"/>
      <c r="S285" s="195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</row>
    <row r="286" spans="17:45" s="54" customFormat="1" x14ac:dyDescent="0.25">
      <c r="Q286" s="195"/>
      <c r="R286" s="195"/>
      <c r="S286" s="195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</row>
    <row r="287" spans="17:45" s="54" customFormat="1" x14ac:dyDescent="0.25">
      <c r="Q287" s="195"/>
      <c r="R287" s="195"/>
      <c r="S287" s="195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</row>
    <row r="288" spans="17:45" s="54" customFormat="1" x14ac:dyDescent="0.25">
      <c r="Q288" s="195"/>
      <c r="R288" s="195"/>
      <c r="S288" s="195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</row>
    <row r="289" spans="17:45" s="54" customFormat="1" x14ac:dyDescent="0.25">
      <c r="Q289" s="195"/>
      <c r="R289" s="195"/>
      <c r="S289" s="195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</row>
    <row r="290" spans="17:45" s="54" customFormat="1" x14ac:dyDescent="0.25">
      <c r="Q290" s="195"/>
      <c r="R290" s="195"/>
      <c r="S290" s="195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</row>
    <row r="291" spans="17:45" s="54" customFormat="1" x14ac:dyDescent="0.25">
      <c r="Q291" s="195"/>
      <c r="R291" s="195"/>
      <c r="S291" s="195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</row>
    <row r="292" spans="17:45" s="54" customFormat="1" x14ac:dyDescent="0.25">
      <c r="Q292" s="195"/>
      <c r="R292" s="195"/>
      <c r="S292" s="195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</row>
    <row r="293" spans="17:45" s="54" customFormat="1" x14ac:dyDescent="0.25">
      <c r="Q293" s="195"/>
      <c r="R293" s="195"/>
      <c r="S293" s="195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</row>
    <row r="294" spans="17:45" s="54" customFormat="1" x14ac:dyDescent="0.25">
      <c r="Q294" s="195"/>
      <c r="R294" s="195"/>
      <c r="S294" s="195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</row>
    <row r="295" spans="17:45" s="54" customFormat="1" x14ac:dyDescent="0.25">
      <c r="Q295" s="195"/>
      <c r="R295" s="195"/>
      <c r="S295" s="195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</row>
    <row r="296" spans="17:45" s="54" customFormat="1" x14ac:dyDescent="0.25">
      <c r="Q296" s="195"/>
      <c r="R296" s="195"/>
      <c r="S296" s="195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</row>
    <row r="297" spans="17:45" s="54" customFormat="1" x14ac:dyDescent="0.25">
      <c r="Q297" s="195"/>
      <c r="R297" s="195"/>
      <c r="S297" s="195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</row>
    <row r="298" spans="17:45" s="54" customFormat="1" x14ac:dyDescent="0.25">
      <c r="Q298" s="195"/>
      <c r="R298" s="195"/>
      <c r="S298" s="195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</row>
    <row r="299" spans="17:45" s="54" customFormat="1" x14ac:dyDescent="0.25">
      <c r="Q299" s="195"/>
      <c r="R299" s="195"/>
      <c r="S299" s="195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</row>
    <row r="300" spans="17:45" s="54" customFormat="1" x14ac:dyDescent="0.25">
      <c r="Q300" s="195"/>
      <c r="R300" s="195"/>
      <c r="S300" s="195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</row>
    <row r="301" spans="17:45" s="54" customFormat="1" x14ac:dyDescent="0.25">
      <c r="Q301" s="195"/>
      <c r="R301" s="195"/>
      <c r="S301" s="195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</row>
    <row r="302" spans="17:45" s="54" customFormat="1" x14ac:dyDescent="0.25">
      <c r="Q302" s="195"/>
      <c r="R302" s="195"/>
      <c r="S302" s="195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</row>
    <row r="303" spans="17:45" s="54" customFormat="1" x14ac:dyDescent="0.25">
      <c r="Q303" s="195"/>
      <c r="R303" s="195"/>
      <c r="S303" s="195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</row>
    <row r="304" spans="17:45" s="54" customFormat="1" x14ac:dyDescent="0.25">
      <c r="Q304" s="195"/>
      <c r="R304" s="195"/>
      <c r="S304" s="195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</row>
    <row r="305" spans="17:45" s="54" customFormat="1" x14ac:dyDescent="0.25">
      <c r="Q305" s="195"/>
      <c r="R305" s="195"/>
      <c r="S305" s="195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</row>
    <row r="306" spans="17:45" s="54" customFormat="1" x14ac:dyDescent="0.25">
      <c r="Q306" s="195"/>
      <c r="R306" s="195"/>
      <c r="S306" s="195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</row>
    <row r="307" spans="17:45" s="54" customFormat="1" x14ac:dyDescent="0.25">
      <c r="Q307" s="195"/>
      <c r="R307" s="195"/>
      <c r="S307" s="195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</row>
    <row r="308" spans="17:45" s="54" customFormat="1" x14ac:dyDescent="0.25">
      <c r="Q308" s="195"/>
      <c r="R308" s="195"/>
      <c r="S308" s="195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</row>
    <row r="309" spans="17:45" s="54" customFormat="1" x14ac:dyDescent="0.25">
      <c r="Q309" s="195"/>
      <c r="R309" s="195"/>
      <c r="S309" s="195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</row>
    <row r="310" spans="17:45" s="54" customFormat="1" x14ac:dyDescent="0.25">
      <c r="Q310" s="195"/>
      <c r="R310" s="195"/>
      <c r="S310" s="195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</row>
    <row r="311" spans="17:45" s="54" customFormat="1" x14ac:dyDescent="0.25">
      <c r="Q311" s="195"/>
      <c r="R311" s="195"/>
      <c r="S311" s="195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</row>
    <row r="312" spans="17:45" s="54" customFormat="1" x14ac:dyDescent="0.25">
      <c r="Q312" s="195"/>
      <c r="R312" s="195"/>
      <c r="S312" s="195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</row>
    <row r="313" spans="17:45" s="54" customFormat="1" x14ac:dyDescent="0.25">
      <c r="Q313" s="195"/>
      <c r="R313" s="195"/>
      <c r="S313" s="195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</row>
    <row r="314" spans="17:45" s="54" customFormat="1" x14ac:dyDescent="0.25">
      <c r="Q314" s="195"/>
      <c r="R314" s="195"/>
      <c r="S314" s="195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</row>
    <row r="315" spans="17:45" s="54" customFormat="1" x14ac:dyDescent="0.25">
      <c r="Q315" s="195"/>
      <c r="R315" s="195"/>
      <c r="S315" s="195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</row>
    <row r="316" spans="17:45" s="54" customFormat="1" x14ac:dyDescent="0.25">
      <c r="Q316" s="195"/>
      <c r="R316" s="195"/>
      <c r="S316" s="195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</row>
    <row r="317" spans="17:45" s="54" customFormat="1" x14ac:dyDescent="0.25">
      <c r="Q317" s="195"/>
      <c r="R317" s="195"/>
      <c r="S317" s="195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</row>
    <row r="318" spans="17:45" s="54" customFormat="1" x14ac:dyDescent="0.25">
      <c r="Q318" s="195"/>
      <c r="R318" s="195"/>
      <c r="S318" s="195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</row>
    <row r="319" spans="17:45" s="54" customFormat="1" x14ac:dyDescent="0.25">
      <c r="Q319" s="195"/>
      <c r="R319" s="195"/>
      <c r="S319" s="195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</row>
    <row r="320" spans="17:45" s="54" customFormat="1" x14ac:dyDescent="0.25">
      <c r="Q320" s="195"/>
      <c r="R320" s="195"/>
      <c r="S320" s="195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</row>
    <row r="321" spans="17:45" s="54" customFormat="1" x14ac:dyDescent="0.25">
      <c r="Q321" s="195"/>
      <c r="R321" s="195"/>
      <c r="S321" s="195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</row>
    <row r="322" spans="17:45" s="54" customFormat="1" x14ac:dyDescent="0.25">
      <c r="Q322" s="195"/>
      <c r="R322" s="195"/>
      <c r="S322" s="195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</row>
    <row r="323" spans="17:45" s="54" customFormat="1" x14ac:dyDescent="0.25">
      <c r="Q323" s="195"/>
      <c r="R323" s="195"/>
      <c r="S323" s="195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</row>
    <row r="324" spans="17:45" s="54" customFormat="1" x14ac:dyDescent="0.25">
      <c r="Q324" s="195"/>
      <c r="R324" s="195"/>
      <c r="S324" s="195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</row>
    <row r="325" spans="17:45" s="54" customFormat="1" x14ac:dyDescent="0.25">
      <c r="Q325" s="195"/>
      <c r="R325" s="195"/>
      <c r="S325" s="195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</row>
    <row r="326" spans="17:45" s="54" customFormat="1" x14ac:dyDescent="0.25">
      <c r="Q326" s="195"/>
      <c r="R326" s="195"/>
      <c r="S326" s="195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</row>
    <row r="327" spans="17:45" s="54" customFormat="1" x14ac:dyDescent="0.25">
      <c r="Q327" s="195"/>
      <c r="R327" s="195"/>
      <c r="S327" s="195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</row>
    <row r="328" spans="17:45" s="54" customFormat="1" x14ac:dyDescent="0.25">
      <c r="Q328" s="195"/>
      <c r="R328" s="195"/>
      <c r="S328" s="195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</row>
    <row r="329" spans="17:45" s="54" customFormat="1" x14ac:dyDescent="0.25">
      <c r="Q329" s="195"/>
      <c r="R329" s="195"/>
      <c r="S329" s="195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</row>
    <row r="330" spans="17:45" s="54" customFormat="1" x14ac:dyDescent="0.25">
      <c r="Q330" s="195"/>
      <c r="R330" s="195"/>
      <c r="S330" s="195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</row>
    <row r="331" spans="17:45" s="54" customFormat="1" x14ac:dyDescent="0.25">
      <c r="Q331" s="195"/>
      <c r="R331" s="195"/>
      <c r="S331" s="195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</row>
    <row r="332" spans="17:45" s="54" customFormat="1" x14ac:dyDescent="0.25">
      <c r="Q332" s="195"/>
      <c r="R332" s="195"/>
      <c r="S332" s="195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</row>
    <row r="333" spans="17:45" s="54" customFormat="1" x14ac:dyDescent="0.25">
      <c r="Q333" s="195"/>
      <c r="R333" s="195"/>
      <c r="S333" s="195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</row>
    <row r="334" spans="17:45" s="54" customFormat="1" x14ac:dyDescent="0.25">
      <c r="Q334" s="195"/>
      <c r="R334" s="195"/>
      <c r="S334" s="195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</row>
    <row r="335" spans="17:45" s="54" customFormat="1" x14ac:dyDescent="0.25">
      <c r="Q335" s="195"/>
      <c r="R335" s="195"/>
      <c r="S335" s="195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</row>
    <row r="336" spans="17:45" s="54" customFormat="1" x14ac:dyDescent="0.25">
      <c r="Q336" s="195"/>
      <c r="R336" s="195"/>
      <c r="S336" s="195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</row>
    <row r="337" spans="17:45" s="54" customFormat="1" x14ac:dyDescent="0.25">
      <c r="Q337" s="195"/>
      <c r="R337" s="195"/>
      <c r="S337" s="195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</row>
    <row r="338" spans="17:45" s="54" customFormat="1" x14ac:dyDescent="0.25">
      <c r="Q338" s="195"/>
      <c r="R338" s="195"/>
      <c r="S338" s="195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</row>
    <row r="339" spans="17:45" s="54" customFormat="1" x14ac:dyDescent="0.25">
      <c r="Q339" s="195"/>
      <c r="R339" s="195"/>
      <c r="S339" s="195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</row>
    <row r="340" spans="17:45" s="54" customFormat="1" x14ac:dyDescent="0.25">
      <c r="Q340" s="195"/>
      <c r="R340" s="195"/>
      <c r="S340" s="195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</row>
    <row r="341" spans="17:45" s="54" customFormat="1" x14ac:dyDescent="0.25">
      <c r="Q341" s="195"/>
      <c r="R341" s="195"/>
      <c r="S341" s="195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</row>
    <row r="342" spans="17:45" s="54" customFormat="1" x14ac:dyDescent="0.25">
      <c r="Q342" s="195"/>
      <c r="R342" s="195"/>
      <c r="S342" s="195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</row>
    <row r="343" spans="17:45" s="54" customFormat="1" x14ac:dyDescent="0.25">
      <c r="Q343" s="195"/>
      <c r="R343" s="195"/>
      <c r="S343" s="195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</row>
    <row r="344" spans="17:45" s="54" customFormat="1" x14ac:dyDescent="0.25">
      <c r="Q344" s="195"/>
      <c r="R344" s="195"/>
      <c r="S344" s="195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</row>
    <row r="345" spans="17:45" s="54" customFormat="1" x14ac:dyDescent="0.25">
      <c r="Q345" s="195"/>
      <c r="R345" s="195"/>
      <c r="S345" s="195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</row>
    <row r="346" spans="17:45" s="54" customFormat="1" x14ac:dyDescent="0.25">
      <c r="Q346" s="195"/>
      <c r="R346" s="195"/>
      <c r="S346" s="195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</row>
    <row r="347" spans="17:45" s="54" customFormat="1" x14ac:dyDescent="0.25">
      <c r="Q347" s="195"/>
      <c r="R347" s="195"/>
      <c r="S347" s="195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</row>
    <row r="348" spans="17:45" s="54" customFormat="1" x14ac:dyDescent="0.25">
      <c r="Q348" s="195"/>
      <c r="R348" s="195"/>
      <c r="S348" s="195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</row>
    <row r="349" spans="17:45" s="54" customFormat="1" x14ac:dyDescent="0.25">
      <c r="Q349" s="195"/>
      <c r="R349" s="195"/>
      <c r="S349" s="195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</row>
    <row r="350" spans="17:45" s="54" customFormat="1" x14ac:dyDescent="0.25">
      <c r="Q350" s="195"/>
      <c r="R350" s="195"/>
      <c r="S350" s="195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</row>
    <row r="351" spans="17:45" s="54" customFormat="1" x14ac:dyDescent="0.25">
      <c r="Q351" s="195"/>
      <c r="R351" s="195"/>
      <c r="S351" s="195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</row>
    <row r="352" spans="17:45" s="54" customFormat="1" x14ac:dyDescent="0.25">
      <c r="Q352" s="195"/>
      <c r="R352" s="195"/>
      <c r="S352" s="195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</row>
    <row r="353" spans="17:45" s="54" customFormat="1" x14ac:dyDescent="0.25">
      <c r="Q353" s="195"/>
      <c r="R353" s="195"/>
      <c r="S353" s="195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</row>
    <row r="354" spans="17:45" s="54" customFormat="1" x14ac:dyDescent="0.25">
      <c r="Q354" s="195"/>
      <c r="R354" s="195"/>
      <c r="S354" s="195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</row>
    <row r="355" spans="17:45" s="54" customFormat="1" x14ac:dyDescent="0.25">
      <c r="Q355" s="195"/>
      <c r="R355" s="195"/>
      <c r="S355" s="195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</row>
    <row r="356" spans="17:45" s="54" customFormat="1" x14ac:dyDescent="0.25">
      <c r="Q356" s="195"/>
      <c r="R356" s="195"/>
      <c r="S356" s="195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</row>
    <row r="357" spans="17:45" s="54" customFormat="1" x14ac:dyDescent="0.25">
      <c r="Q357" s="195"/>
      <c r="R357" s="195"/>
      <c r="S357" s="195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</row>
    <row r="358" spans="17:45" s="54" customFormat="1" x14ac:dyDescent="0.25">
      <c r="Q358" s="195"/>
      <c r="R358" s="195"/>
      <c r="S358" s="195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</row>
    <row r="359" spans="17:45" s="54" customFormat="1" x14ac:dyDescent="0.25">
      <c r="Q359" s="195"/>
      <c r="R359" s="195"/>
      <c r="S359" s="195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</row>
    <row r="360" spans="17:45" s="54" customFormat="1" x14ac:dyDescent="0.25">
      <c r="Q360" s="195"/>
      <c r="R360" s="195"/>
      <c r="S360" s="195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</row>
    <row r="361" spans="17:45" s="54" customFormat="1" x14ac:dyDescent="0.25">
      <c r="Q361" s="195"/>
      <c r="R361" s="195"/>
      <c r="S361" s="195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</row>
    <row r="362" spans="17:45" s="54" customFormat="1" x14ac:dyDescent="0.25">
      <c r="Q362" s="195"/>
      <c r="R362" s="195"/>
      <c r="S362" s="195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</row>
    <row r="363" spans="17:45" s="54" customFormat="1" x14ac:dyDescent="0.25">
      <c r="Q363" s="195"/>
      <c r="R363" s="195"/>
      <c r="S363" s="195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</row>
    <row r="364" spans="17:45" s="54" customFormat="1" x14ac:dyDescent="0.25">
      <c r="Q364" s="195"/>
      <c r="R364" s="195"/>
      <c r="S364" s="195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</row>
    <row r="365" spans="17:45" s="54" customFormat="1" x14ac:dyDescent="0.25">
      <c r="Q365" s="195"/>
      <c r="R365" s="195"/>
      <c r="S365" s="195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</row>
    <row r="366" spans="17:45" s="54" customFormat="1" x14ac:dyDescent="0.25">
      <c r="Q366" s="195"/>
      <c r="R366" s="195"/>
      <c r="S366" s="195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</row>
    <row r="367" spans="17:45" s="54" customFormat="1" x14ac:dyDescent="0.25">
      <c r="Q367" s="195"/>
      <c r="R367" s="195"/>
      <c r="S367" s="195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</row>
    <row r="368" spans="17:45" s="54" customFormat="1" x14ac:dyDescent="0.25">
      <c r="Q368" s="195"/>
      <c r="R368" s="195"/>
      <c r="S368" s="195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</row>
    <row r="369" spans="17:45" s="54" customFormat="1" x14ac:dyDescent="0.25">
      <c r="Q369" s="195"/>
      <c r="R369" s="195"/>
      <c r="S369" s="195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</row>
    <row r="370" spans="17:45" s="54" customFormat="1" x14ac:dyDescent="0.25">
      <c r="Q370" s="195"/>
      <c r="R370" s="195"/>
      <c r="S370" s="195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</row>
    <row r="371" spans="17:45" s="54" customFormat="1" x14ac:dyDescent="0.25">
      <c r="Q371" s="195"/>
      <c r="R371" s="195"/>
      <c r="S371" s="195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</row>
    <row r="372" spans="17:45" s="54" customFormat="1" x14ac:dyDescent="0.25">
      <c r="Q372" s="195"/>
      <c r="R372" s="195"/>
      <c r="S372" s="195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</row>
    <row r="373" spans="17:45" s="54" customFormat="1" x14ac:dyDescent="0.25">
      <c r="Q373" s="195"/>
      <c r="R373" s="195"/>
      <c r="S373" s="195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</row>
    <row r="374" spans="17:45" s="54" customFormat="1" x14ac:dyDescent="0.25">
      <c r="Q374" s="195"/>
      <c r="R374" s="195"/>
      <c r="S374" s="195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</row>
    <row r="375" spans="17:45" s="54" customFormat="1" x14ac:dyDescent="0.25">
      <c r="Q375" s="195"/>
      <c r="R375" s="195"/>
      <c r="S375" s="195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</row>
    <row r="376" spans="17:45" s="54" customFormat="1" x14ac:dyDescent="0.25">
      <c r="Q376" s="195"/>
      <c r="R376" s="195"/>
      <c r="S376" s="195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</row>
    <row r="377" spans="17:45" s="54" customFormat="1" x14ac:dyDescent="0.25">
      <c r="Q377" s="195"/>
      <c r="R377" s="195"/>
      <c r="S377" s="195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</row>
    <row r="378" spans="17:45" s="54" customFormat="1" x14ac:dyDescent="0.25">
      <c r="Q378" s="195"/>
      <c r="R378" s="195"/>
      <c r="S378" s="195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</row>
    <row r="379" spans="17:45" s="54" customFormat="1" x14ac:dyDescent="0.25">
      <c r="Q379" s="195"/>
      <c r="R379" s="195"/>
      <c r="S379" s="195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</row>
    <row r="380" spans="17:45" s="54" customFormat="1" x14ac:dyDescent="0.25">
      <c r="Q380" s="195"/>
      <c r="R380" s="195"/>
      <c r="S380" s="195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</row>
    <row r="381" spans="17:45" s="54" customFormat="1" x14ac:dyDescent="0.25">
      <c r="Q381" s="195"/>
      <c r="R381" s="195"/>
      <c r="S381" s="195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</row>
    <row r="382" spans="17:45" s="54" customFormat="1" x14ac:dyDescent="0.25">
      <c r="Q382" s="195"/>
      <c r="R382" s="195"/>
      <c r="S382" s="195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</row>
    <row r="383" spans="17:45" s="54" customFormat="1" x14ac:dyDescent="0.25">
      <c r="Q383" s="195"/>
      <c r="R383" s="195"/>
      <c r="S383" s="195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</row>
    <row r="384" spans="17:45" s="54" customFormat="1" x14ac:dyDescent="0.25">
      <c r="Q384" s="195"/>
      <c r="R384" s="195"/>
      <c r="S384" s="195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</row>
    <row r="385" spans="17:45" s="54" customFormat="1" x14ac:dyDescent="0.25">
      <c r="Q385" s="195"/>
      <c r="R385" s="195"/>
      <c r="S385" s="195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</row>
    <row r="386" spans="17:45" s="54" customFormat="1" x14ac:dyDescent="0.25">
      <c r="Q386" s="195"/>
      <c r="R386" s="195"/>
      <c r="S386" s="195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</row>
    <row r="387" spans="17:45" s="54" customFormat="1" x14ac:dyDescent="0.25">
      <c r="Q387" s="195"/>
      <c r="R387" s="195"/>
      <c r="S387" s="195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</row>
    <row r="388" spans="17:45" s="54" customFormat="1" x14ac:dyDescent="0.25">
      <c r="Q388" s="195"/>
      <c r="R388" s="195"/>
      <c r="S388" s="195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</row>
    <row r="389" spans="17:45" s="54" customFormat="1" x14ac:dyDescent="0.25">
      <c r="Q389" s="195"/>
      <c r="R389" s="195"/>
      <c r="S389" s="195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</row>
    <row r="390" spans="17:45" s="54" customFormat="1" x14ac:dyDescent="0.25">
      <c r="Q390" s="195"/>
      <c r="R390" s="195"/>
      <c r="S390" s="195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</row>
    <row r="391" spans="17:45" s="54" customFormat="1" x14ac:dyDescent="0.25">
      <c r="Q391" s="195"/>
      <c r="R391" s="195"/>
      <c r="S391" s="195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</row>
    <row r="392" spans="17:45" s="54" customFormat="1" x14ac:dyDescent="0.25">
      <c r="Q392" s="195"/>
      <c r="R392" s="195"/>
      <c r="S392" s="195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</row>
    <row r="393" spans="17:45" s="54" customFormat="1" x14ac:dyDescent="0.25">
      <c r="Q393" s="195"/>
      <c r="R393" s="195"/>
      <c r="S393" s="195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</row>
    <row r="394" spans="17:45" s="54" customFormat="1" x14ac:dyDescent="0.25">
      <c r="Q394" s="195"/>
      <c r="R394" s="195"/>
      <c r="S394" s="195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</row>
    <row r="395" spans="17:45" s="54" customFormat="1" x14ac:dyDescent="0.25">
      <c r="Q395" s="195"/>
      <c r="R395" s="195"/>
      <c r="S395" s="195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</row>
    <row r="396" spans="17:45" s="54" customFormat="1" x14ac:dyDescent="0.25">
      <c r="Q396" s="195"/>
      <c r="R396" s="195"/>
      <c r="S396" s="195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</row>
    <row r="397" spans="17:45" s="54" customFormat="1" x14ac:dyDescent="0.25">
      <c r="Q397" s="195"/>
      <c r="R397" s="195"/>
      <c r="S397" s="195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</row>
    <row r="398" spans="17:45" s="54" customFormat="1" x14ac:dyDescent="0.25">
      <c r="Q398" s="195"/>
      <c r="R398" s="195"/>
      <c r="S398" s="195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</row>
    <row r="399" spans="17:45" s="54" customFormat="1" x14ac:dyDescent="0.25">
      <c r="Q399" s="195"/>
      <c r="R399" s="195"/>
      <c r="S399" s="195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</row>
    <row r="400" spans="17:45" s="54" customFormat="1" x14ac:dyDescent="0.25">
      <c r="Q400" s="195"/>
      <c r="R400" s="195"/>
      <c r="S400" s="195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</row>
    <row r="401" spans="17:45" s="54" customFormat="1" x14ac:dyDescent="0.25">
      <c r="Q401" s="195"/>
      <c r="R401" s="195"/>
      <c r="S401" s="195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</row>
    <row r="402" spans="17:45" s="54" customFormat="1" x14ac:dyDescent="0.25">
      <c r="Q402" s="195"/>
      <c r="R402" s="195"/>
      <c r="S402" s="195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</row>
    <row r="403" spans="17:45" s="54" customFormat="1" x14ac:dyDescent="0.25">
      <c r="Q403" s="195"/>
      <c r="R403" s="195"/>
      <c r="S403" s="195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</row>
    <row r="404" spans="17:45" s="54" customFormat="1" x14ac:dyDescent="0.25">
      <c r="Q404" s="195"/>
      <c r="R404" s="195"/>
      <c r="S404" s="195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</row>
    <row r="405" spans="17:45" s="54" customFormat="1" x14ac:dyDescent="0.25">
      <c r="Q405" s="195"/>
      <c r="R405" s="195"/>
      <c r="S405" s="195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</row>
    <row r="406" spans="17:45" s="54" customFormat="1" x14ac:dyDescent="0.25">
      <c r="Q406" s="195"/>
      <c r="R406" s="195"/>
      <c r="S406" s="195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</row>
    <row r="407" spans="17:45" s="54" customFormat="1" x14ac:dyDescent="0.25">
      <c r="Q407" s="195"/>
      <c r="R407" s="195"/>
      <c r="S407" s="195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</row>
    <row r="408" spans="17:45" s="54" customFormat="1" x14ac:dyDescent="0.25">
      <c r="Q408" s="195"/>
      <c r="R408" s="195"/>
      <c r="S408" s="195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</row>
    <row r="409" spans="17:45" s="54" customFormat="1" x14ac:dyDescent="0.25">
      <c r="Q409" s="195"/>
      <c r="R409" s="195"/>
      <c r="S409" s="195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</row>
    <row r="410" spans="17:45" s="54" customFormat="1" x14ac:dyDescent="0.25">
      <c r="Q410" s="195"/>
      <c r="R410" s="195"/>
      <c r="S410" s="195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</row>
    <row r="411" spans="17:45" s="54" customFormat="1" x14ac:dyDescent="0.25">
      <c r="Q411" s="195"/>
      <c r="R411" s="195"/>
      <c r="S411" s="195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</row>
    <row r="412" spans="17:45" s="54" customFormat="1" x14ac:dyDescent="0.25">
      <c r="Q412" s="195"/>
      <c r="R412" s="195"/>
      <c r="S412" s="195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</row>
    <row r="413" spans="17:45" s="54" customFormat="1" x14ac:dyDescent="0.25">
      <c r="Q413" s="195"/>
      <c r="R413" s="195"/>
      <c r="S413" s="195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</row>
    <row r="414" spans="17:45" s="54" customFormat="1" x14ac:dyDescent="0.25">
      <c r="Q414" s="195"/>
      <c r="R414" s="195"/>
      <c r="S414" s="195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</row>
    <row r="415" spans="17:45" s="54" customFormat="1" x14ac:dyDescent="0.25">
      <c r="Q415" s="195"/>
      <c r="R415" s="195"/>
      <c r="S415" s="195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</row>
    <row r="416" spans="17:45" s="54" customFormat="1" x14ac:dyDescent="0.25">
      <c r="Q416" s="195"/>
      <c r="R416" s="195"/>
      <c r="S416" s="195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</row>
    <row r="417" spans="17:45" s="54" customFormat="1" x14ac:dyDescent="0.25">
      <c r="Q417" s="195"/>
      <c r="R417" s="195"/>
      <c r="S417" s="195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</row>
    <row r="418" spans="17:45" s="54" customFormat="1" x14ac:dyDescent="0.25">
      <c r="Q418" s="195"/>
      <c r="R418" s="195"/>
      <c r="S418" s="195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</row>
    <row r="419" spans="17:45" s="54" customFormat="1" x14ac:dyDescent="0.25">
      <c r="Q419" s="195"/>
      <c r="R419" s="195"/>
      <c r="S419" s="195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</row>
    <row r="420" spans="17:45" s="54" customFormat="1" x14ac:dyDescent="0.25">
      <c r="Q420" s="195"/>
      <c r="R420" s="195"/>
      <c r="S420" s="195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</row>
    <row r="421" spans="17:45" s="54" customFormat="1" x14ac:dyDescent="0.25">
      <c r="Q421" s="195"/>
      <c r="R421" s="195"/>
      <c r="S421" s="195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</row>
    <row r="422" spans="17:45" s="54" customFormat="1" x14ac:dyDescent="0.25">
      <c r="Q422" s="195"/>
      <c r="R422" s="195"/>
      <c r="S422" s="195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</row>
    <row r="423" spans="17:45" s="54" customFormat="1" x14ac:dyDescent="0.25">
      <c r="Q423" s="195"/>
      <c r="R423" s="195"/>
      <c r="S423" s="195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</row>
    <row r="424" spans="17:45" s="54" customFormat="1" x14ac:dyDescent="0.25">
      <c r="Q424" s="195"/>
      <c r="R424" s="195"/>
      <c r="S424" s="195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</row>
    <row r="425" spans="17:45" s="54" customFormat="1" x14ac:dyDescent="0.25">
      <c r="Q425" s="195"/>
      <c r="R425" s="195"/>
      <c r="S425" s="195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</row>
    <row r="426" spans="17:45" s="54" customFormat="1" x14ac:dyDescent="0.25">
      <c r="Q426" s="195"/>
      <c r="R426" s="195"/>
      <c r="S426" s="195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</row>
    <row r="427" spans="17:45" s="54" customFormat="1" x14ac:dyDescent="0.25">
      <c r="Q427" s="195"/>
      <c r="R427" s="195"/>
      <c r="S427" s="195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</row>
    <row r="428" spans="17:45" s="54" customFormat="1" x14ac:dyDescent="0.25">
      <c r="Q428" s="195"/>
      <c r="R428" s="195"/>
      <c r="S428" s="195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</row>
    <row r="429" spans="17:45" s="54" customFormat="1" x14ac:dyDescent="0.25">
      <c r="Q429" s="195"/>
      <c r="R429" s="195"/>
      <c r="S429" s="195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</row>
    <row r="430" spans="17:45" s="54" customFormat="1" x14ac:dyDescent="0.25">
      <c r="Q430" s="195"/>
      <c r="R430" s="195"/>
      <c r="S430" s="195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</row>
    <row r="431" spans="17:45" s="54" customFormat="1" x14ac:dyDescent="0.25">
      <c r="Q431" s="195"/>
      <c r="R431" s="195"/>
      <c r="S431" s="195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</row>
    <row r="432" spans="17:45" s="54" customFormat="1" x14ac:dyDescent="0.25">
      <c r="Q432" s="195"/>
      <c r="R432" s="195"/>
      <c r="S432" s="195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</row>
    <row r="433" spans="17:45" s="54" customFormat="1" x14ac:dyDescent="0.25">
      <c r="Q433" s="195"/>
      <c r="R433" s="195"/>
      <c r="S433" s="195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</row>
    <row r="434" spans="17:45" s="54" customFormat="1" x14ac:dyDescent="0.25">
      <c r="Q434" s="195"/>
      <c r="R434" s="195"/>
      <c r="S434" s="195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</row>
    <row r="435" spans="17:45" s="54" customFormat="1" x14ac:dyDescent="0.25">
      <c r="Q435" s="195"/>
      <c r="R435" s="195"/>
      <c r="S435" s="195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</row>
    <row r="436" spans="17:45" s="54" customFormat="1" x14ac:dyDescent="0.25">
      <c r="Q436" s="195"/>
      <c r="R436" s="195"/>
      <c r="S436" s="195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</row>
    <row r="437" spans="17:45" s="54" customFormat="1" x14ac:dyDescent="0.25">
      <c r="Q437" s="195"/>
      <c r="R437" s="195"/>
      <c r="S437" s="195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</row>
    <row r="438" spans="17:45" s="54" customFormat="1" x14ac:dyDescent="0.25">
      <c r="Q438" s="195"/>
      <c r="R438" s="195"/>
      <c r="S438" s="195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</row>
    <row r="439" spans="17:45" s="54" customFormat="1" x14ac:dyDescent="0.25">
      <c r="Q439" s="195"/>
      <c r="R439" s="195"/>
      <c r="S439" s="195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</row>
    <row r="440" spans="17:45" s="54" customFormat="1" x14ac:dyDescent="0.25">
      <c r="Q440" s="195"/>
      <c r="R440" s="195"/>
      <c r="S440" s="195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</row>
    <row r="441" spans="17:45" s="54" customFormat="1" x14ac:dyDescent="0.25">
      <c r="Q441" s="195"/>
      <c r="R441" s="195"/>
      <c r="S441" s="195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</row>
    <row r="442" spans="17:45" s="54" customFormat="1" x14ac:dyDescent="0.25">
      <c r="Q442" s="195"/>
      <c r="R442" s="195"/>
      <c r="S442" s="195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</row>
    <row r="443" spans="17:45" s="54" customFormat="1" x14ac:dyDescent="0.25">
      <c r="Q443" s="195"/>
      <c r="R443" s="195"/>
      <c r="S443" s="195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</row>
    <row r="444" spans="17:45" s="54" customFormat="1" x14ac:dyDescent="0.25">
      <c r="Q444" s="195"/>
      <c r="R444" s="195"/>
      <c r="S444" s="195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</row>
    <row r="445" spans="17:45" s="54" customFormat="1" x14ac:dyDescent="0.25">
      <c r="Q445" s="195"/>
      <c r="R445" s="195"/>
      <c r="S445" s="195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</row>
    <row r="446" spans="17:45" s="54" customFormat="1" x14ac:dyDescent="0.25">
      <c r="Q446" s="195"/>
      <c r="R446" s="195"/>
      <c r="S446" s="195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</row>
    <row r="447" spans="17:45" s="54" customFormat="1" x14ac:dyDescent="0.25">
      <c r="Q447" s="195"/>
      <c r="R447" s="195"/>
      <c r="S447" s="195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</row>
    <row r="448" spans="17:45" s="54" customFormat="1" x14ac:dyDescent="0.25">
      <c r="Q448" s="195"/>
      <c r="R448" s="195"/>
      <c r="S448" s="195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</row>
    <row r="449" spans="17:45" s="54" customFormat="1" x14ac:dyDescent="0.25">
      <c r="Q449" s="195"/>
      <c r="R449" s="195"/>
      <c r="S449" s="195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</row>
    <row r="450" spans="17:45" s="54" customFormat="1" x14ac:dyDescent="0.25">
      <c r="Q450" s="195"/>
      <c r="R450" s="195"/>
      <c r="S450" s="195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</row>
    <row r="451" spans="17:45" s="54" customFormat="1" x14ac:dyDescent="0.25">
      <c r="Q451" s="195"/>
      <c r="R451" s="195"/>
      <c r="S451" s="195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</row>
    <row r="452" spans="17:45" s="54" customFormat="1" x14ac:dyDescent="0.25">
      <c r="Q452" s="195"/>
      <c r="R452" s="195"/>
      <c r="S452" s="195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</row>
    <row r="453" spans="17:45" s="54" customFormat="1" x14ac:dyDescent="0.25">
      <c r="Q453" s="195"/>
      <c r="R453" s="195"/>
      <c r="S453" s="195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</row>
    <row r="454" spans="17:45" s="54" customFormat="1" x14ac:dyDescent="0.25">
      <c r="Q454" s="195"/>
      <c r="R454" s="195"/>
      <c r="S454" s="195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</row>
    <row r="455" spans="17:45" s="54" customFormat="1" x14ac:dyDescent="0.25">
      <c r="Q455" s="195"/>
      <c r="R455" s="195"/>
      <c r="S455" s="195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</row>
    <row r="456" spans="17:45" s="54" customFormat="1" x14ac:dyDescent="0.25">
      <c r="Q456" s="195"/>
      <c r="R456" s="195"/>
      <c r="S456" s="195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</row>
    <row r="457" spans="17:45" s="54" customFormat="1" x14ac:dyDescent="0.25">
      <c r="Q457" s="195"/>
      <c r="R457" s="195"/>
      <c r="S457" s="195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</row>
    <row r="458" spans="17:45" s="54" customFormat="1" x14ac:dyDescent="0.25">
      <c r="Q458" s="195"/>
      <c r="R458" s="195"/>
      <c r="S458" s="195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  <c r="AQ458" s="90"/>
      <c r="AR458" s="90"/>
      <c r="AS458" s="90"/>
    </row>
    <row r="459" spans="17:45" s="54" customFormat="1" x14ac:dyDescent="0.25">
      <c r="Q459" s="195"/>
      <c r="R459" s="195"/>
      <c r="S459" s="195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</row>
    <row r="460" spans="17:45" s="54" customFormat="1" x14ac:dyDescent="0.25">
      <c r="Q460" s="195"/>
      <c r="R460" s="195"/>
      <c r="S460" s="195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  <c r="AQ460" s="90"/>
      <c r="AR460" s="90"/>
      <c r="AS460" s="90"/>
    </row>
    <row r="461" spans="17:45" s="54" customFormat="1" x14ac:dyDescent="0.25">
      <c r="Q461" s="195"/>
      <c r="R461" s="195"/>
      <c r="S461" s="195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</row>
    <row r="462" spans="17:45" s="54" customFormat="1" x14ac:dyDescent="0.25">
      <c r="Q462" s="195"/>
      <c r="R462" s="195"/>
      <c r="S462" s="195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  <c r="AQ462" s="90"/>
      <c r="AR462" s="90"/>
      <c r="AS462" s="90"/>
    </row>
    <row r="463" spans="17:45" s="54" customFormat="1" x14ac:dyDescent="0.25">
      <c r="Q463" s="195"/>
      <c r="R463" s="195"/>
      <c r="S463" s="195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</row>
    <row r="464" spans="17:45" s="54" customFormat="1" x14ac:dyDescent="0.25">
      <c r="Q464" s="195"/>
      <c r="R464" s="195"/>
      <c r="S464" s="195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90"/>
      <c r="AQ464" s="90"/>
      <c r="AR464" s="90"/>
      <c r="AS464" s="90"/>
    </row>
    <row r="465" spans="17:45" s="54" customFormat="1" x14ac:dyDescent="0.25">
      <c r="Q465" s="195"/>
      <c r="R465" s="195"/>
      <c r="S465" s="195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  <c r="AQ465" s="90"/>
      <c r="AR465" s="90"/>
      <c r="AS465" s="90"/>
    </row>
  </sheetData>
  <autoFilter ref="A14:BN59" xr:uid="{5672AB94-907D-44BB-A57C-E80C0BBAFC5F}"/>
  <mergeCells count="15">
    <mergeCell ref="L13:P13"/>
    <mergeCell ref="Q13:S13"/>
    <mergeCell ref="D62:H62"/>
    <mergeCell ref="L62:O62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58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3E722-786E-4C26-97C0-5FB550C65381}">
  <sheetPr>
    <tabColor rgb="FF00B050"/>
    <pageSetUpPr fitToPage="1"/>
  </sheetPr>
  <dimension ref="A1:BQ489"/>
  <sheetViews>
    <sheetView showZeros="0" topLeftCell="A70" zoomScale="90" zoomScaleNormal="90" workbookViewId="0">
      <selection activeCell="F82" sqref="F15:P82"/>
    </sheetView>
  </sheetViews>
  <sheetFormatPr defaultColWidth="8.85546875" defaultRowHeight="14.25" outlineLevelCol="1" x14ac:dyDescent="0.2"/>
  <cols>
    <col min="1" max="2" width="5.7109375" style="4" customWidth="1"/>
    <col min="3" max="3" width="33.28515625" style="4" customWidth="1"/>
    <col min="4" max="7" width="8.28515625" style="4" customWidth="1"/>
    <col min="8" max="15" width="10.7109375" style="4" customWidth="1"/>
    <col min="16" max="16" width="13.28515625" style="4" customWidth="1"/>
    <col min="17" max="19" width="5.7109375" style="195" customWidth="1" outlineLevel="1"/>
    <col min="20" max="22" width="10.7109375" style="90" customWidth="1" outlineLevel="1"/>
    <col min="23" max="45" width="10.7109375" style="90" customWidth="1"/>
    <col min="46" max="66" width="8.85546875" style="54"/>
    <col min="67" max="16384" width="8.85546875" style="4"/>
  </cols>
  <sheetData>
    <row r="1" spans="1:66" ht="15" x14ac:dyDescent="0.2">
      <c r="A1" s="408" t="s">
        <v>398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66" ht="10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66" ht="15" x14ac:dyDescent="0.2">
      <c r="A3" s="409" t="str">
        <f>Kopsavilkums!C21</f>
        <v>Sienas, starpsienas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4" spans="1:66" x14ac:dyDescent="0.2">
      <c r="A4" s="411" t="s">
        <v>13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</row>
    <row r="5" spans="1:66" x14ac:dyDescent="0.2">
      <c r="A5" s="5"/>
      <c r="B5" s="5"/>
      <c r="C5" s="5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</row>
    <row r="6" spans="1:66" x14ac:dyDescent="0.2">
      <c r="A6" s="1" t="s">
        <v>64</v>
      </c>
      <c r="B6" s="8"/>
      <c r="C6" s="9"/>
      <c r="D6" s="10"/>
      <c r="E6" s="5"/>
      <c r="F6" s="10"/>
      <c r="G6" s="10"/>
      <c r="H6" s="11"/>
      <c r="I6" s="11"/>
      <c r="J6" s="11"/>
      <c r="K6" s="13"/>
      <c r="L6" s="13"/>
      <c r="M6" s="11"/>
      <c r="N6" s="11"/>
      <c r="O6" s="11"/>
      <c r="P6" s="11"/>
    </row>
    <row r="7" spans="1:66" x14ac:dyDescent="0.2">
      <c r="A7" s="1" t="s">
        <v>65</v>
      </c>
      <c r="B7" s="8"/>
      <c r="C7" s="12"/>
      <c r="D7" s="10"/>
      <c r="E7" s="5"/>
      <c r="F7" s="10"/>
      <c r="G7" s="10"/>
      <c r="H7" s="11"/>
      <c r="I7" s="13"/>
      <c r="J7" s="11"/>
      <c r="K7" s="11"/>
      <c r="L7" s="11"/>
      <c r="M7" s="11"/>
      <c r="N7" s="11"/>
      <c r="O7" s="11"/>
      <c r="P7" s="11"/>
    </row>
    <row r="8" spans="1:66" x14ac:dyDescent="0.2">
      <c r="A8" s="2" t="s">
        <v>66</v>
      </c>
      <c r="B8" s="8"/>
      <c r="C8" s="12"/>
      <c r="D8" s="10"/>
      <c r="E8" s="5"/>
      <c r="F8" s="10"/>
      <c r="G8" s="10"/>
      <c r="H8" s="11"/>
      <c r="I8" s="13"/>
      <c r="J8" s="11"/>
      <c r="K8" s="13"/>
      <c r="L8" s="11"/>
      <c r="M8" s="11"/>
      <c r="N8" s="11"/>
      <c r="O8" s="11"/>
      <c r="P8" s="11"/>
    </row>
    <row r="9" spans="1:66" x14ac:dyDescent="0.2">
      <c r="A9" s="1" t="s">
        <v>54</v>
      </c>
      <c r="B9" s="8"/>
      <c r="C9" s="8"/>
      <c r="D9" s="10"/>
      <c r="E9" s="14"/>
      <c r="F9" s="10"/>
      <c r="G9" s="10"/>
      <c r="H9" s="5"/>
      <c r="I9" s="15"/>
      <c r="J9" s="5"/>
      <c r="K9" s="16"/>
      <c r="L9" s="11"/>
      <c r="M9" s="11"/>
      <c r="N9" s="11"/>
      <c r="O9" s="17" t="s">
        <v>0</v>
      </c>
      <c r="P9" s="18">
        <f>P83</f>
        <v>0</v>
      </c>
    </row>
    <row r="10" spans="1:66" ht="4.9000000000000004" customHeight="1" x14ac:dyDescent="0.2">
      <c r="A10" s="8"/>
      <c r="B10" s="8"/>
      <c r="C10" s="8"/>
      <c r="D10" s="10"/>
      <c r="E10" s="10"/>
      <c r="F10" s="10"/>
      <c r="G10" s="10"/>
      <c r="H10" s="5"/>
      <c r="I10" s="15"/>
      <c r="J10" s="5"/>
      <c r="K10" s="19"/>
      <c r="L10" s="11"/>
      <c r="M10" s="11"/>
      <c r="N10" s="11"/>
      <c r="O10" s="11"/>
      <c r="P10" s="11"/>
    </row>
    <row r="11" spans="1:66" x14ac:dyDescent="0.2">
      <c r="A11" s="107" t="s">
        <v>67</v>
      </c>
      <c r="B11" s="20"/>
      <c r="C11" s="21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22" t="str">
        <f>Kopsavilkums!H$9</f>
        <v xml:space="preserve">Tāme sastādīta: </v>
      </c>
    </row>
    <row r="12" spans="1:66" ht="4.9000000000000004" customHeight="1" thickBot="1" x14ac:dyDescent="0.25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</row>
    <row r="13" spans="1:66" ht="15" customHeight="1" thickBot="1" x14ac:dyDescent="0.25">
      <c r="A13" s="412" t="s">
        <v>1</v>
      </c>
      <c r="B13" s="414" t="s">
        <v>2</v>
      </c>
      <c r="C13" s="414" t="s">
        <v>3</v>
      </c>
      <c r="D13" s="416" t="s">
        <v>4</v>
      </c>
      <c r="E13" s="418" t="s">
        <v>5</v>
      </c>
      <c r="F13" s="412" t="s">
        <v>6</v>
      </c>
      <c r="G13" s="420" t="s">
        <v>19</v>
      </c>
      <c r="H13" s="404" t="s">
        <v>7</v>
      </c>
      <c r="I13" s="405"/>
      <c r="J13" s="405"/>
      <c r="K13" s="406"/>
      <c r="L13" s="405" t="s">
        <v>8</v>
      </c>
      <c r="M13" s="405"/>
      <c r="N13" s="405"/>
      <c r="O13" s="405"/>
      <c r="P13" s="406"/>
      <c r="Q13" s="403"/>
      <c r="R13" s="403"/>
      <c r="S13" s="403"/>
    </row>
    <row r="14" spans="1:66" ht="34.9" customHeight="1" thickBot="1" x14ac:dyDescent="0.25">
      <c r="A14" s="413"/>
      <c r="B14" s="415"/>
      <c r="C14" s="415"/>
      <c r="D14" s="417"/>
      <c r="E14" s="419"/>
      <c r="F14" s="413"/>
      <c r="G14" s="421"/>
      <c r="H14" s="56" t="s">
        <v>17</v>
      </c>
      <c r="I14" s="60" t="s">
        <v>16</v>
      </c>
      <c r="J14" s="57" t="s">
        <v>15</v>
      </c>
      <c r="K14" s="58" t="s">
        <v>18</v>
      </c>
      <c r="L14" s="58" t="s">
        <v>9</v>
      </c>
      <c r="M14" s="56" t="s">
        <v>17</v>
      </c>
      <c r="N14" s="60" t="s">
        <v>16</v>
      </c>
      <c r="O14" s="57" t="s">
        <v>15</v>
      </c>
      <c r="P14" s="59" t="s">
        <v>14</v>
      </c>
      <c r="Q14" s="196"/>
      <c r="R14" s="196"/>
      <c r="S14" s="196"/>
    </row>
    <row r="15" spans="1:66" x14ac:dyDescent="0.2">
      <c r="A15" s="333"/>
      <c r="B15" s="138"/>
      <c r="C15" s="177" t="str">
        <f>A3</f>
        <v>Sienas, starpsienas</v>
      </c>
      <c r="D15" s="139"/>
      <c r="E15" s="140"/>
      <c r="F15" s="119"/>
      <c r="G15" s="61"/>
      <c r="H15" s="26"/>
      <c r="I15" s="27"/>
      <c r="J15" s="27"/>
      <c r="K15" s="25"/>
      <c r="L15" s="25"/>
      <c r="M15" s="26"/>
      <c r="N15" s="27"/>
      <c r="O15" s="28"/>
      <c r="P15" s="29"/>
    </row>
    <row r="16" spans="1:66" s="184" customFormat="1" ht="25.5" x14ac:dyDescent="0.15">
      <c r="A16" s="334"/>
      <c r="B16" s="186"/>
      <c r="C16" s="235" t="s">
        <v>464</v>
      </c>
      <c r="D16" s="188" t="s">
        <v>43</v>
      </c>
      <c r="E16" s="189">
        <v>134.69999999999999</v>
      </c>
      <c r="F16" s="26"/>
      <c r="G16" s="61"/>
      <c r="H16" s="26"/>
      <c r="I16" s="27"/>
      <c r="J16" s="27"/>
      <c r="K16" s="25"/>
      <c r="L16" s="25"/>
      <c r="M16" s="26"/>
      <c r="N16" s="27"/>
      <c r="O16" s="28"/>
      <c r="P16" s="29"/>
      <c r="Q16" s="195"/>
      <c r="R16" s="195"/>
      <c r="S16" s="195"/>
      <c r="T16" s="90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</row>
    <row r="17" spans="1:69" s="184" customFormat="1" ht="22.5" x14ac:dyDescent="0.15">
      <c r="A17" s="334" t="s">
        <v>34</v>
      </c>
      <c r="B17" s="182"/>
      <c r="C17" s="206" t="s">
        <v>479</v>
      </c>
      <c r="D17" s="180" t="s">
        <v>44</v>
      </c>
      <c r="E17" s="273">
        <v>46.1</v>
      </c>
      <c r="F17" s="26"/>
      <c r="G17" s="61"/>
      <c r="H17" s="26"/>
      <c r="I17" s="27"/>
      <c r="J17" s="27"/>
      <c r="K17" s="25"/>
      <c r="L17" s="25"/>
      <c r="M17" s="26"/>
      <c r="N17" s="27"/>
      <c r="O17" s="28"/>
      <c r="P17" s="29"/>
      <c r="Q17" s="195"/>
      <c r="R17" s="195"/>
      <c r="S17" s="195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</row>
    <row r="18" spans="1:69" s="184" customFormat="1" ht="11.25" x14ac:dyDescent="0.15">
      <c r="A18" s="334"/>
      <c r="B18" s="182"/>
      <c r="C18" s="185" t="s">
        <v>477</v>
      </c>
      <c r="D18" s="180" t="s">
        <v>43</v>
      </c>
      <c r="E18" s="273">
        <f>ROUND(E17*0.2*2*1.2,2)</f>
        <v>22.13</v>
      </c>
      <c r="F18" s="26"/>
      <c r="G18" s="61"/>
      <c r="H18" s="26"/>
      <c r="I18" s="27"/>
      <c r="J18" s="27"/>
      <c r="K18" s="25"/>
      <c r="L18" s="25"/>
      <c r="M18" s="26"/>
      <c r="N18" s="27"/>
      <c r="O18" s="28"/>
      <c r="P18" s="29"/>
      <c r="Q18" s="195"/>
      <c r="R18" s="195"/>
      <c r="S18" s="195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</row>
    <row r="19" spans="1:69" s="184" customFormat="1" ht="22.5" x14ac:dyDescent="0.15">
      <c r="A19" s="334"/>
      <c r="B19" s="176"/>
      <c r="C19" s="185" t="s">
        <v>478</v>
      </c>
      <c r="D19" s="180" t="s">
        <v>50</v>
      </c>
      <c r="E19" s="273">
        <f>ROUND(E17*0.2*3,2)</f>
        <v>27.66</v>
      </c>
      <c r="F19" s="26"/>
      <c r="G19" s="61"/>
      <c r="H19" s="26"/>
      <c r="I19" s="27"/>
      <c r="J19" s="27"/>
      <c r="K19" s="25"/>
      <c r="L19" s="25"/>
      <c r="M19" s="26"/>
      <c r="N19" s="27"/>
      <c r="O19" s="28"/>
      <c r="P19" s="29"/>
      <c r="Q19" s="195"/>
      <c r="R19" s="195"/>
      <c r="S19" s="195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</row>
    <row r="20" spans="1:69" s="184" customFormat="1" ht="22.5" x14ac:dyDescent="0.15">
      <c r="A20" s="334" t="s">
        <v>35</v>
      </c>
      <c r="B20" s="182"/>
      <c r="C20" s="206" t="s">
        <v>445</v>
      </c>
      <c r="D20" s="180" t="s">
        <v>42</v>
      </c>
      <c r="E20" s="211">
        <f>ROUND(E16*0.2,2)</f>
        <v>26.94</v>
      </c>
      <c r="F20" s="26"/>
      <c r="G20" s="61"/>
      <c r="H20" s="26"/>
      <c r="I20" s="27"/>
      <c r="J20" s="27"/>
      <c r="K20" s="25"/>
      <c r="L20" s="25"/>
      <c r="M20" s="26"/>
      <c r="N20" s="27"/>
      <c r="O20" s="28"/>
      <c r="P20" s="29"/>
      <c r="Q20" s="195"/>
      <c r="R20" s="195"/>
      <c r="S20" s="195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</row>
    <row r="21" spans="1:69" s="184" customFormat="1" ht="11.25" x14ac:dyDescent="0.15">
      <c r="A21" s="334"/>
      <c r="B21" s="182"/>
      <c r="C21" s="185" t="s">
        <v>698</v>
      </c>
      <c r="D21" s="180" t="s">
        <v>42</v>
      </c>
      <c r="E21" s="211">
        <f>ROUND(E20*1.05,2)</f>
        <v>28.29</v>
      </c>
      <c r="F21" s="26"/>
      <c r="G21" s="61"/>
      <c r="H21" s="26"/>
      <c r="I21" s="27"/>
      <c r="J21" s="27"/>
      <c r="K21" s="25"/>
      <c r="L21" s="25"/>
      <c r="M21" s="26"/>
      <c r="N21" s="27"/>
      <c r="O21" s="28"/>
      <c r="P21" s="29"/>
      <c r="Q21" s="195"/>
      <c r="R21" s="195"/>
      <c r="S21" s="195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</row>
    <row r="22" spans="1:69" s="184" customFormat="1" ht="11.25" x14ac:dyDescent="0.15">
      <c r="A22" s="334"/>
      <c r="B22" s="176"/>
      <c r="C22" s="185" t="s">
        <v>440</v>
      </c>
      <c r="D22" s="180" t="s">
        <v>259</v>
      </c>
      <c r="E22" s="211">
        <f>ROUND(E20/0.2*2*1.2,2)</f>
        <v>323.27999999999997</v>
      </c>
      <c r="F22" s="26"/>
      <c r="G22" s="61"/>
      <c r="H22" s="26"/>
      <c r="I22" s="27"/>
      <c r="J22" s="27"/>
      <c r="K22" s="25"/>
      <c r="L22" s="25"/>
      <c r="M22" s="26"/>
      <c r="N22" s="27"/>
      <c r="O22" s="28"/>
      <c r="P22" s="29"/>
      <c r="Q22" s="195"/>
      <c r="R22" s="195"/>
      <c r="S22" s="195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</row>
    <row r="23" spans="1:69" s="184" customFormat="1" ht="11.25" x14ac:dyDescent="0.15">
      <c r="A23" s="334"/>
      <c r="B23" s="186"/>
      <c r="C23" s="185" t="s">
        <v>441</v>
      </c>
      <c r="D23" s="180" t="s">
        <v>442</v>
      </c>
      <c r="E23" s="211">
        <f>ROUND(E21*5,0)</f>
        <v>141</v>
      </c>
      <c r="F23" s="26"/>
      <c r="G23" s="61"/>
      <c r="H23" s="26"/>
      <c r="I23" s="27"/>
      <c r="J23" s="27"/>
      <c r="K23" s="25"/>
      <c r="L23" s="25"/>
      <c r="M23" s="26"/>
      <c r="N23" s="27"/>
      <c r="O23" s="28"/>
      <c r="P23" s="29"/>
      <c r="Q23" s="195"/>
      <c r="R23" s="195"/>
      <c r="S23" s="195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</row>
    <row r="24" spans="1:69" s="184" customFormat="1" ht="12.75" x14ac:dyDescent="0.15">
      <c r="A24" s="334"/>
      <c r="B24" s="186"/>
      <c r="C24" s="235" t="s">
        <v>443</v>
      </c>
      <c r="D24" s="121"/>
      <c r="E24" s="274"/>
      <c r="F24" s="26"/>
      <c r="G24" s="61"/>
      <c r="H24" s="26"/>
      <c r="I24" s="27"/>
      <c r="J24" s="27"/>
      <c r="K24" s="25"/>
      <c r="L24" s="25"/>
      <c r="M24" s="26"/>
      <c r="N24" s="27"/>
      <c r="O24" s="28"/>
      <c r="P24" s="29"/>
      <c r="Q24" s="195"/>
      <c r="R24" s="195"/>
      <c r="S24" s="195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</row>
    <row r="25" spans="1:69" s="184" customFormat="1" ht="11.25" x14ac:dyDescent="0.15">
      <c r="A25" s="334" t="s">
        <v>36</v>
      </c>
      <c r="B25" s="186"/>
      <c r="C25" s="206" t="s">
        <v>444</v>
      </c>
      <c r="D25" s="180"/>
      <c r="E25" s="211"/>
      <c r="F25" s="26"/>
      <c r="G25" s="61"/>
      <c r="H25" s="26"/>
      <c r="I25" s="27"/>
      <c r="J25" s="27"/>
      <c r="K25" s="25"/>
      <c r="L25" s="25"/>
      <c r="M25" s="26"/>
      <c r="N25" s="27"/>
      <c r="O25" s="28"/>
      <c r="P25" s="29"/>
      <c r="Q25" s="195"/>
      <c r="R25" s="195"/>
      <c r="S25" s="195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</row>
    <row r="26" spans="1:69" s="184" customFormat="1" ht="22.5" x14ac:dyDescent="0.15">
      <c r="A26" s="334"/>
      <c r="B26" s="182"/>
      <c r="C26" s="185" t="s">
        <v>465</v>
      </c>
      <c r="D26" s="180" t="s">
        <v>45</v>
      </c>
      <c r="E26" s="211">
        <v>2</v>
      </c>
      <c r="F26" s="26"/>
      <c r="G26" s="61"/>
      <c r="H26" s="26"/>
      <c r="I26" s="27"/>
      <c r="J26" s="27"/>
      <c r="K26" s="25"/>
      <c r="L26" s="25"/>
      <c r="M26" s="26"/>
      <c r="N26" s="27"/>
      <c r="O26" s="28"/>
      <c r="P26" s="29"/>
      <c r="Q26" s="195"/>
      <c r="R26" s="195"/>
      <c r="S26" s="195"/>
      <c r="T26" s="90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</row>
    <row r="27" spans="1:69" s="184" customFormat="1" ht="22.5" x14ac:dyDescent="0.15">
      <c r="A27" s="334"/>
      <c r="B27" s="176"/>
      <c r="C27" s="185" t="s">
        <v>466</v>
      </c>
      <c r="D27" s="180" t="s">
        <v>45</v>
      </c>
      <c r="E27" s="211">
        <v>1</v>
      </c>
      <c r="F27" s="26"/>
      <c r="G27" s="61"/>
      <c r="H27" s="26"/>
      <c r="I27" s="27"/>
      <c r="J27" s="27"/>
      <c r="K27" s="25"/>
      <c r="L27" s="25"/>
      <c r="M27" s="26"/>
      <c r="N27" s="27"/>
      <c r="O27" s="28"/>
      <c r="P27" s="29"/>
      <c r="Q27" s="195"/>
      <c r="R27" s="195"/>
      <c r="S27" s="195"/>
      <c r="T27" s="90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</row>
    <row r="28" spans="1:69" s="184" customFormat="1" ht="22.5" x14ac:dyDescent="0.15">
      <c r="A28" s="334"/>
      <c r="B28" s="182"/>
      <c r="C28" s="185" t="s">
        <v>467</v>
      </c>
      <c r="D28" s="180" t="s">
        <v>45</v>
      </c>
      <c r="E28" s="211">
        <v>3</v>
      </c>
      <c r="F28" s="26"/>
      <c r="G28" s="61"/>
      <c r="H28" s="26"/>
      <c r="I28" s="27"/>
      <c r="J28" s="27"/>
      <c r="K28" s="25"/>
      <c r="L28" s="25"/>
      <c r="M28" s="26"/>
      <c r="N28" s="27"/>
      <c r="O28" s="28"/>
      <c r="P28" s="29"/>
      <c r="Q28" s="195"/>
      <c r="R28" s="195"/>
      <c r="S28" s="195"/>
      <c r="T28" s="90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</row>
    <row r="29" spans="1:69" s="184" customFormat="1" ht="22.5" x14ac:dyDescent="0.15">
      <c r="A29" s="334"/>
      <c r="B29" s="176"/>
      <c r="C29" s="185" t="s">
        <v>468</v>
      </c>
      <c r="D29" s="180" t="s">
        <v>45</v>
      </c>
      <c r="E29" s="211">
        <v>1</v>
      </c>
      <c r="F29" s="26"/>
      <c r="G29" s="61"/>
      <c r="H29" s="26"/>
      <c r="I29" s="27"/>
      <c r="J29" s="27"/>
      <c r="K29" s="25"/>
      <c r="L29" s="25"/>
      <c r="M29" s="26"/>
      <c r="N29" s="27"/>
      <c r="O29" s="28"/>
      <c r="P29" s="29"/>
      <c r="Q29" s="195"/>
      <c r="R29" s="195"/>
      <c r="S29" s="195"/>
      <c r="T29" s="90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</row>
    <row r="30" spans="1:69" s="184" customFormat="1" ht="38.25" x14ac:dyDescent="0.15">
      <c r="A30" s="334"/>
      <c r="B30" s="186"/>
      <c r="C30" s="235" t="s">
        <v>576</v>
      </c>
      <c r="D30" s="188" t="s">
        <v>45</v>
      </c>
      <c r="E30" s="275">
        <v>1</v>
      </c>
      <c r="F30" s="26"/>
      <c r="G30" s="61"/>
      <c r="H30" s="26"/>
      <c r="I30" s="27"/>
      <c r="J30" s="27"/>
      <c r="K30" s="25"/>
      <c r="L30" s="25"/>
      <c r="M30" s="26"/>
      <c r="N30" s="27"/>
      <c r="O30" s="28"/>
      <c r="P30" s="29"/>
      <c r="Q30" s="195"/>
      <c r="R30" s="195"/>
      <c r="S30" s="195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</row>
    <row r="31" spans="1:69" s="184" customFormat="1" ht="33.75" x14ac:dyDescent="0.15">
      <c r="A31" s="334" t="s">
        <v>37</v>
      </c>
      <c r="B31" s="186"/>
      <c r="C31" s="206" t="s">
        <v>577</v>
      </c>
      <c r="D31" s="180" t="s">
        <v>44</v>
      </c>
      <c r="E31" s="211">
        <v>5.9450000000000003</v>
      </c>
      <c r="F31" s="26"/>
      <c r="G31" s="61"/>
      <c r="H31" s="26"/>
      <c r="I31" s="27"/>
      <c r="J31" s="27"/>
      <c r="K31" s="25"/>
      <c r="L31" s="25"/>
      <c r="M31" s="26"/>
      <c r="N31" s="27"/>
      <c r="O31" s="28"/>
      <c r="P31" s="29"/>
      <c r="Q31" s="195"/>
      <c r="R31" s="195"/>
      <c r="S31" s="195"/>
      <c r="T31" s="90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</row>
    <row r="32" spans="1:69" s="184" customFormat="1" ht="22.5" x14ac:dyDescent="0.15">
      <c r="A32" s="334"/>
      <c r="B32" s="186"/>
      <c r="C32" s="185" t="s">
        <v>248</v>
      </c>
      <c r="D32" s="180" t="s">
        <v>43</v>
      </c>
      <c r="E32" s="181">
        <f>ROUND(E31*0.6,2)</f>
        <v>3.57</v>
      </c>
      <c r="F32" s="26"/>
      <c r="G32" s="61"/>
      <c r="H32" s="26"/>
      <c r="I32" s="27"/>
      <c r="J32" s="27"/>
      <c r="K32" s="25"/>
      <c r="L32" s="25"/>
      <c r="M32" s="26"/>
      <c r="N32" s="27"/>
      <c r="O32" s="28"/>
      <c r="P32" s="29"/>
      <c r="Q32" s="195"/>
      <c r="R32" s="195"/>
      <c r="S32" s="195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</row>
    <row r="33" spans="1:69" s="184" customFormat="1" ht="33.75" x14ac:dyDescent="0.15">
      <c r="A33" s="334"/>
      <c r="B33" s="186"/>
      <c r="C33" s="185" t="s">
        <v>471</v>
      </c>
      <c r="D33" s="180" t="s">
        <v>44</v>
      </c>
      <c r="E33" s="181">
        <f>E31</f>
        <v>5.9450000000000003</v>
      </c>
      <c r="F33" s="26"/>
      <c r="G33" s="61"/>
      <c r="H33" s="26"/>
      <c r="I33" s="27"/>
      <c r="J33" s="27"/>
      <c r="K33" s="25"/>
      <c r="L33" s="25"/>
      <c r="M33" s="26"/>
      <c r="N33" s="27"/>
      <c r="O33" s="28"/>
      <c r="P33" s="29"/>
      <c r="Q33" s="195"/>
      <c r="R33" s="195"/>
      <c r="S33" s="195"/>
      <c r="T33" s="90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</row>
    <row r="34" spans="1:69" s="184" customFormat="1" ht="22.5" x14ac:dyDescent="0.15">
      <c r="A34" s="334" t="s">
        <v>38</v>
      </c>
      <c r="B34" s="186"/>
      <c r="C34" s="179" t="s">
        <v>472</v>
      </c>
      <c r="D34" s="180" t="s">
        <v>44</v>
      </c>
      <c r="E34" s="181">
        <v>5.95</v>
      </c>
      <c r="F34" s="26"/>
      <c r="G34" s="61"/>
      <c r="H34" s="26"/>
      <c r="I34" s="27"/>
      <c r="J34" s="27"/>
      <c r="K34" s="25"/>
      <c r="L34" s="25"/>
      <c r="M34" s="26"/>
      <c r="N34" s="27"/>
      <c r="O34" s="28"/>
      <c r="P34" s="29"/>
      <c r="Q34" s="195"/>
      <c r="R34" s="195"/>
      <c r="S34" s="195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</row>
    <row r="35" spans="1:69" s="184" customFormat="1" ht="11.25" x14ac:dyDescent="0.15">
      <c r="A35" s="334"/>
      <c r="B35" s="186"/>
      <c r="C35" s="185" t="s">
        <v>579</v>
      </c>
      <c r="D35" s="180" t="s">
        <v>44</v>
      </c>
      <c r="E35" s="181">
        <v>42</v>
      </c>
      <c r="F35" s="26"/>
      <c r="G35" s="61"/>
      <c r="H35" s="26"/>
      <c r="I35" s="27"/>
      <c r="J35" s="27"/>
      <c r="K35" s="25"/>
      <c r="L35" s="25"/>
      <c r="M35" s="26"/>
      <c r="N35" s="27"/>
      <c r="O35" s="28"/>
      <c r="P35" s="29"/>
      <c r="Q35" s="195"/>
      <c r="R35" s="195"/>
      <c r="S35" s="195"/>
      <c r="T35" s="90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</row>
    <row r="36" spans="1:69" s="184" customFormat="1" ht="11.25" x14ac:dyDescent="0.15">
      <c r="A36" s="334"/>
      <c r="B36" s="186"/>
      <c r="C36" s="185" t="s">
        <v>474</v>
      </c>
      <c r="D36" s="180" t="s">
        <v>44</v>
      </c>
      <c r="E36" s="181">
        <v>24</v>
      </c>
      <c r="F36" s="26"/>
      <c r="G36" s="61"/>
      <c r="H36" s="26"/>
      <c r="I36" s="27"/>
      <c r="J36" s="27"/>
      <c r="K36" s="25"/>
      <c r="L36" s="25"/>
      <c r="M36" s="26"/>
      <c r="N36" s="27"/>
      <c r="O36" s="28"/>
      <c r="P36" s="29"/>
      <c r="Q36" s="195"/>
      <c r="R36" s="195"/>
      <c r="S36" s="195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</row>
    <row r="37" spans="1:69" s="184" customFormat="1" ht="22.5" x14ac:dyDescent="0.15">
      <c r="A37" s="334"/>
      <c r="B37" s="186"/>
      <c r="C37" s="185" t="s">
        <v>250</v>
      </c>
      <c r="D37" s="180" t="s">
        <v>44</v>
      </c>
      <c r="E37" s="181">
        <f>E34</f>
        <v>5.95</v>
      </c>
      <c r="F37" s="26"/>
      <c r="G37" s="61"/>
      <c r="H37" s="26"/>
      <c r="I37" s="27"/>
      <c r="J37" s="27"/>
      <c r="K37" s="25"/>
      <c r="L37" s="25"/>
      <c r="M37" s="26"/>
      <c r="N37" s="27"/>
      <c r="O37" s="28"/>
      <c r="P37" s="29"/>
      <c r="Q37" s="195"/>
      <c r="R37" s="195"/>
      <c r="S37" s="195"/>
      <c r="T37" s="90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</row>
    <row r="38" spans="1:69" s="184" customFormat="1" ht="22.5" x14ac:dyDescent="0.15">
      <c r="A38" s="334" t="s">
        <v>39</v>
      </c>
      <c r="B38" s="186"/>
      <c r="C38" s="179" t="s">
        <v>578</v>
      </c>
      <c r="D38" s="180" t="s">
        <v>42</v>
      </c>
      <c r="E38" s="181">
        <f>ROUND(5.95*0.2*0.185,2)</f>
        <v>0.22</v>
      </c>
      <c r="F38" s="26"/>
      <c r="G38" s="61"/>
      <c r="H38" s="26"/>
      <c r="I38" s="27"/>
      <c r="J38" s="27"/>
      <c r="K38" s="25"/>
      <c r="L38" s="25"/>
      <c r="M38" s="26"/>
      <c r="N38" s="27"/>
      <c r="O38" s="28"/>
      <c r="P38" s="29"/>
      <c r="Q38" s="195"/>
      <c r="R38" s="195"/>
      <c r="S38" s="195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</row>
    <row r="39" spans="1:69" s="184" customFormat="1" ht="11.25" x14ac:dyDescent="0.15">
      <c r="A39" s="334"/>
      <c r="B39" s="186"/>
      <c r="C39" s="187" t="s">
        <v>656</v>
      </c>
      <c r="D39" s="121" t="s">
        <v>42</v>
      </c>
      <c r="E39" s="274">
        <f>ROUND(E38*1.1,2)</f>
        <v>0.24</v>
      </c>
      <c r="F39" s="26"/>
      <c r="G39" s="61"/>
      <c r="H39" s="26"/>
      <c r="I39" s="27"/>
      <c r="J39" s="27"/>
      <c r="K39" s="25"/>
      <c r="L39" s="25"/>
      <c r="M39" s="26"/>
      <c r="N39" s="27"/>
      <c r="O39" s="28"/>
      <c r="P39" s="29"/>
      <c r="Q39" s="195"/>
      <c r="R39" s="195"/>
      <c r="S39" s="195"/>
      <c r="T39" s="90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</row>
    <row r="40" spans="1:69" s="184" customFormat="1" ht="11.25" x14ac:dyDescent="0.15">
      <c r="A40" s="334"/>
      <c r="B40" s="186"/>
      <c r="C40" s="187" t="s">
        <v>245</v>
      </c>
      <c r="D40" s="121" t="s">
        <v>246</v>
      </c>
      <c r="E40" s="274">
        <f>ROUND(E39/8*1,2)</f>
        <v>0.03</v>
      </c>
      <c r="F40" s="26"/>
      <c r="G40" s="61"/>
      <c r="H40" s="26"/>
      <c r="I40" s="27"/>
      <c r="J40" s="27"/>
      <c r="K40" s="25"/>
      <c r="L40" s="25"/>
      <c r="M40" s="26"/>
      <c r="N40" s="27"/>
      <c r="O40" s="28"/>
      <c r="P40" s="29"/>
      <c r="Q40" s="195"/>
      <c r="R40" s="195"/>
      <c r="S40" s="195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</row>
    <row r="41" spans="1:69" s="184" customFormat="1" ht="11.25" x14ac:dyDescent="0.15">
      <c r="A41" s="334"/>
      <c r="B41" s="186"/>
      <c r="C41" s="187" t="s">
        <v>247</v>
      </c>
      <c r="D41" s="121" t="s">
        <v>246</v>
      </c>
      <c r="E41" s="274">
        <f>ROUND(E39/8*2,2)</f>
        <v>0.06</v>
      </c>
      <c r="F41" s="26"/>
      <c r="G41" s="61"/>
      <c r="H41" s="26"/>
      <c r="I41" s="27"/>
      <c r="J41" s="27"/>
      <c r="K41" s="25"/>
      <c r="L41" s="25"/>
      <c r="M41" s="26"/>
      <c r="N41" s="27"/>
      <c r="O41" s="28"/>
      <c r="P41" s="29"/>
      <c r="Q41" s="195"/>
      <c r="R41" s="195"/>
      <c r="S41" s="195"/>
      <c r="T41" s="90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</row>
    <row r="42" spans="1:69" s="184" customFormat="1" ht="11.25" x14ac:dyDescent="0.15">
      <c r="A42" s="334"/>
      <c r="B42" s="186"/>
      <c r="C42" s="185" t="s">
        <v>252</v>
      </c>
      <c r="D42" s="180" t="s">
        <v>48</v>
      </c>
      <c r="E42" s="183">
        <v>1</v>
      </c>
      <c r="F42" s="26"/>
      <c r="G42" s="61"/>
      <c r="H42" s="26"/>
      <c r="I42" s="27"/>
      <c r="J42" s="27"/>
      <c r="K42" s="25"/>
      <c r="L42" s="25"/>
      <c r="M42" s="26"/>
      <c r="N42" s="27"/>
      <c r="O42" s="28"/>
      <c r="P42" s="29"/>
      <c r="Q42" s="195"/>
      <c r="R42" s="195"/>
      <c r="S42" s="195"/>
      <c r="T42" s="207"/>
      <c r="U42" s="207"/>
      <c r="V42" s="207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</row>
    <row r="43" spans="1:69" s="184" customFormat="1" ht="38.25" x14ac:dyDescent="0.15">
      <c r="A43" s="334"/>
      <c r="B43" s="186"/>
      <c r="C43" s="235" t="s">
        <v>476</v>
      </c>
      <c r="D43" s="188" t="s">
        <v>44</v>
      </c>
      <c r="E43" s="275">
        <v>46.1</v>
      </c>
      <c r="F43" s="26"/>
      <c r="G43" s="61"/>
      <c r="H43" s="26"/>
      <c r="I43" s="27"/>
      <c r="J43" s="27"/>
      <c r="K43" s="25"/>
      <c r="L43" s="25"/>
      <c r="M43" s="26"/>
      <c r="N43" s="27"/>
      <c r="O43" s="28"/>
      <c r="P43" s="29"/>
      <c r="Q43" s="195"/>
      <c r="R43" s="195"/>
      <c r="S43" s="195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</row>
    <row r="44" spans="1:69" s="184" customFormat="1" ht="33.75" x14ac:dyDescent="0.15">
      <c r="A44" s="334" t="s">
        <v>40</v>
      </c>
      <c r="B44" s="186"/>
      <c r="C44" s="206" t="s">
        <v>470</v>
      </c>
      <c r="D44" s="180" t="s">
        <v>44</v>
      </c>
      <c r="E44" s="211">
        <f>E43*2</f>
        <v>92.2</v>
      </c>
      <c r="F44" s="26"/>
      <c r="G44" s="61"/>
      <c r="H44" s="26"/>
      <c r="I44" s="27"/>
      <c r="J44" s="27"/>
      <c r="K44" s="25"/>
      <c r="L44" s="25"/>
      <c r="M44" s="26"/>
      <c r="N44" s="27"/>
      <c r="O44" s="28"/>
      <c r="P44" s="29"/>
      <c r="Q44" s="195"/>
      <c r="R44" s="195"/>
      <c r="S44" s="195"/>
      <c r="T44" s="90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</row>
    <row r="45" spans="1:69" s="184" customFormat="1" ht="22.5" x14ac:dyDescent="0.15">
      <c r="A45" s="334"/>
      <c r="B45" s="186"/>
      <c r="C45" s="185" t="s">
        <v>248</v>
      </c>
      <c r="D45" s="180" t="s">
        <v>43</v>
      </c>
      <c r="E45" s="181">
        <f>ROUND(E43*0.6,2)</f>
        <v>27.66</v>
      </c>
      <c r="F45" s="26"/>
      <c r="G45" s="61"/>
      <c r="H45" s="26"/>
      <c r="I45" s="27"/>
      <c r="J45" s="27"/>
      <c r="K45" s="25"/>
      <c r="L45" s="25"/>
      <c r="M45" s="26"/>
      <c r="N45" s="27"/>
      <c r="O45" s="28"/>
      <c r="P45" s="29"/>
      <c r="Q45" s="195"/>
      <c r="R45" s="195"/>
      <c r="S45" s="195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</row>
    <row r="46" spans="1:69" s="184" customFormat="1" ht="33.75" x14ac:dyDescent="0.15">
      <c r="A46" s="334"/>
      <c r="B46" s="186"/>
      <c r="C46" s="185" t="s">
        <v>471</v>
      </c>
      <c r="D46" s="180" t="s">
        <v>44</v>
      </c>
      <c r="E46" s="181">
        <f>E44</f>
        <v>92.2</v>
      </c>
      <c r="F46" s="26"/>
      <c r="G46" s="61"/>
      <c r="H46" s="26"/>
      <c r="I46" s="27"/>
      <c r="J46" s="27"/>
      <c r="K46" s="25"/>
      <c r="L46" s="25"/>
      <c r="M46" s="26"/>
      <c r="N46" s="27"/>
      <c r="O46" s="28"/>
      <c r="P46" s="29"/>
      <c r="Q46" s="195"/>
      <c r="R46" s="195"/>
      <c r="S46" s="195"/>
      <c r="T46" s="90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</row>
    <row r="47" spans="1:69" s="184" customFormat="1" ht="22.5" x14ac:dyDescent="0.15">
      <c r="A47" s="334" t="s">
        <v>313</v>
      </c>
      <c r="B47" s="186"/>
      <c r="C47" s="179" t="s">
        <v>472</v>
      </c>
      <c r="D47" s="180" t="s">
        <v>44</v>
      </c>
      <c r="E47" s="181">
        <f>E44/2</f>
        <v>46.1</v>
      </c>
      <c r="F47" s="26"/>
      <c r="G47" s="61"/>
      <c r="H47" s="26"/>
      <c r="I47" s="27"/>
      <c r="J47" s="27"/>
      <c r="K47" s="25"/>
      <c r="L47" s="25"/>
      <c r="M47" s="26"/>
      <c r="N47" s="27"/>
      <c r="O47" s="28"/>
      <c r="P47" s="29"/>
      <c r="Q47" s="195"/>
      <c r="R47" s="195"/>
      <c r="S47" s="195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</row>
    <row r="48" spans="1:69" s="184" customFormat="1" ht="11.25" x14ac:dyDescent="0.15">
      <c r="A48" s="334"/>
      <c r="B48" s="186"/>
      <c r="C48" s="185" t="s">
        <v>473</v>
      </c>
      <c r="D48" s="180" t="s">
        <v>44</v>
      </c>
      <c r="E48" s="181">
        <f>ROUND(E47*4*1.15,2)</f>
        <v>212.06</v>
      </c>
      <c r="F48" s="26"/>
      <c r="G48" s="61"/>
      <c r="H48" s="26"/>
      <c r="I48" s="27"/>
      <c r="J48" s="27"/>
      <c r="K48" s="25"/>
      <c r="L48" s="25"/>
      <c r="M48" s="26"/>
      <c r="N48" s="27"/>
      <c r="O48" s="28"/>
      <c r="P48" s="29"/>
      <c r="Q48" s="195"/>
      <c r="R48" s="195"/>
      <c r="S48" s="195"/>
      <c r="T48" s="90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</row>
    <row r="49" spans="1:69" s="184" customFormat="1" ht="11.25" x14ac:dyDescent="0.15">
      <c r="A49" s="334"/>
      <c r="B49" s="186"/>
      <c r="C49" s="185" t="s">
        <v>474</v>
      </c>
      <c r="D49" s="180" t="s">
        <v>44</v>
      </c>
      <c r="E49" s="181">
        <f>ROUND(E47/0.2*0.8,2)</f>
        <v>184.4</v>
      </c>
      <c r="F49" s="26"/>
      <c r="G49" s="61"/>
      <c r="H49" s="26"/>
      <c r="I49" s="27"/>
      <c r="J49" s="27"/>
      <c r="K49" s="25"/>
      <c r="L49" s="25"/>
      <c r="M49" s="26"/>
      <c r="N49" s="27"/>
      <c r="O49" s="28"/>
      <c r="P49" s="29"/>
      <c r="Q49" s="195"/>
      <c r="R49" s="195"/>
      <c r="S49" s="195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69" s="184" customFormat="1" ht="22.5" x14ac:dyDescent="0.15">
      <c r="A50" s="334"/>
      <c r="B50" s="186"/>
      <c r="C50" s="185" t="s">
        <v>250</v>
      </c>
      <c r="D50" s="180" t="s">
        <v>44</v>
      </c>
      <c r="E50" s="181">
        <f>E47</f>
        <v>46.1</v>
      </c>
      <c r="F50" s="26"/>
      <c r="G50" s="61"/>
      <c r="H50" s="26"/>
      <c r="I50" s="27"/>
      <c r="J50" s="27"/>
      <c r="K50" s="25"/>
      <c r="L50" s="25"/>
      <c r="M50" s="26"/>
      <c r="N50" s="27"/>
      <c r="O50" s="28"/>
      <c r="P50" s="29"/>
      <c r="Q50" s="195"/>
      <c r="R50" s="195"/>
      <c r="S50" s="195"/>
      <c r="T50" s="90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</row>
    <row r="51" spans="1:69" s="184" customFormat="1" ht="22.5" x14ac:dyDescent="0.15">
      <c r="A51" s="334" t="s">
        <v>316</v>
      </c>
      <c r="B51" s="186"/>
      <c r="C51" s="179" t="s">
        <v>475</v>
      </c>
      <c r="D51" s="180" t="s">
        <v>42</v>
      </c>
      <c r="E51" s="181">
        <f>ROUND(E43*0.2*0.2,2)</f>
        <v>1.84</v>
      </c>
      <c r="F51" s="26"/>
      <c r="G51" s="61"/>
      <c r="H51" s="26"/>
      <c r="I51" s="27"/>
      <c r="J51" s="27"/>
      <c r="K51" s="25"/>
      <c r="L51" s="25"/>
      <c r="M51" s="26"/>
      <c r="N51" s="27"/>
      <c r="O51" s="28"/>
      <c r="P51" s="29"/>
      <c r="Q51" s="195"/>
      <c r="R51" s="195"/>
      <c r="S51" s="195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</row>
    <row r="52" spans="1:69" s="184" customFormat="1" ht="11.25" x14ac:dyDescent="0.15">
      <c r="A52" s="334"/>
      <c r="B52" s="186"/>
      <c r="C52" s="187" t="s">
        <v>656</v>
      </c>
      <c r="D52" s="121" t="s">
        <v>42</v>
      </c>
      <c r="E52" s="274">
        <f>ROUND(E51*1.1,2)</f>
        <v>2.02</v>
      </c>
      <c r="F52" s="26"/>
      <c r="G52" s="61"/>
      <c r="H52" s="26"/>
      <c r="I52" s="27"/>
      <c r="J52" s="27"/>
      <c r="K52" s="25"/>
      <c r="L52" s="25"/>
      <c r="M52" s="26"/>
      <c r="N52" s="27"/>
      <c r="O52" s="28"/>
      <c r="P52" s="29"/>
      <c r="Q52" s="195"/>
      <c r="R52" s="195"/>
      <c r="S52" s="195"/>
      <c r="T52" s="90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</row>
    <row r="53" spans="1:69" s="184" customFormat="1" ht="11.25" x14ac:dyDescent="0.15">
      <c r="A53" s="334"/>
      <c r="B53" s="186"/>
      <c r="C53" s="187" t="s">
        <v>245</v>
      </c>
      <c r="D53" s="121" t="s">
        <v>246</v>
      </c>
      <c r="E53" s="274">
        <f>ROUND(E52/8*1,2)</f>
        <v>0.25</v>
      </c>
      <c r="F53" s="26"/>
      <c r="G53" s="61"/>
      <c r="H53" s="26"/>
      <c r="I53" s="27"/>
      <c r="J53" s="27"/>
      <c r="K53" s="25"/>
      <c r="L53" s="25"/>
      <c r="M53" s="26"/>
      <c r="N53" s="27"/>
      <c r="O53" s="28"/>
      <c r="P53" s="29"/>
      <c r="Q53" s="195"/>
      <c r="R53" s="195"/>
      <c r="S53" s="195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  <c r="BP53" s="102"/>
      <c r="BQ53" s="102"/>
    </row>
    <row r="54" spans="1:69" s="184" customFormat="1" ht="11.25" x14ac:dyDescent="0.15">
      <c r="A54" s="334"/>
      <c r="B54" s="186"/>
      <c r="C54" s="187" t="s">
        <v>247</v>
      </c>
      <c r="D54" s="121" t="s">
        <v>246</v>
      </c>
      <c r="E54" s="274">
        <f>ROUND(E52/8*2,2)</f>
        <v>0.51</v>
      </c>
      <c r="F54" s="26"/>
      <c r="G54" s="61"/>
      <c r="H54" s="26"/>
      <c r="I54" s="27"/>
      <c r="J54" s="27"/>
      <c r="K54" s="25"/>
      <c r="L54" s="25"/>
      <c r="M54" s="26"/>
      <c r="N54" s="27"/>
      <c r="O54" s="28"/>
      <c r="P54" s="29"/>
      <c r="Q54" s="195"/>
      <c r="R54" s="195"/>
      <c r="S54" s="195"/>
      <c r="T54" s="90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</row>
    <row r="55" spans="1:69" s="184" customFormat="1" ht="11.25" x14ac:dyDescent="0.15">
      <c r="A55" s="334"/>
      <c r="B55" s="186"/>
      <c r="C55" s="185" t="s">
        <v>252</v>
      </c>
      <c r="D55" s="180" t="s">
        <v>48</v>
      </c>
      <c r="E55" s="183">
        <v>1</v>
      </c>
      <c r="F55" s="26"/>
      <c r="G55" s="61"/>
      <c r="H55" s="26"/>
      <c r="I55" s="27"/>
      <c r="J55" s="27"/>
      <c r="K55" s="25"/>
      <c r="L55" s="25"/>
      <c r="M55" s="26"/>
      <c r="N55" s="27"/>
      <c r="O55" s="28"/>
      <c r="P55" s="29"/>
      <c r="Q55" s="195"/>
      <c r="R55" s="195"/>
      <c r="S55" s="195"/>
      <c r="T55" s="207"/>
      <c r="U55" s="207"/>
      <c r="V55" s="207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</row>
    <row r="56" spans="1:69" s="184" customFormat="1" ht="25.5" x14ac:dyDescent="0.15">
      <c r="A56" s="334"/>
      <c r="B56" s="186"/>
      <c r="C56" s="235" t="s">
        <v>459</v>
      </c>
      <c r="D56" s="188" t="s">
        <v>43</v>
      </c>
      <c r="E56" s="275">
        <v>49.6</v>
      </c>
      <c r="F56" s="26"/>
      <c r="G56" s="61"/>
      <c r="H56" s="26"/>
      <c r="I56" s="27"/>
      <c r="J56" s="27"/>
      <c r="K56" s="25"/>
      <c r="L56" s="25"/>
      <c r="M56" s="26"/>
      <c r="N56" s="27"/>
      <c r="O56" s="28"/>
      <c r="P56" s="29"/>
      <c r="Q56" s="195"/>
      <c r="R56" s="195"/>
      <c r="S56" s="195"/>
      <c r="T56" s="90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</row>
    <row r="57" spans="1:69" s="184" customFormat="1" ht="33.75" x14ac:dyDescent="0.15">
      <c r="A57" s="334" t="s">
        <v>554</v>
      </c>
      <c r="B57" s="186"/>
      <c r="C57" s="276" t="s">
        <v>446</v>
      </c>
      <c r="D57" s="277" t="s">
        <v>43</v>
      </c>
      <c r="E57" s="278">
        <f>E56</f>
        <v>49.6</v>
      </c>
      <c r="F57" s="26"/>
      <c r="G57" s="61"/>
      <c r="H57" s="26"/>
      <c r="I57" s="27"/>
      <c r="J57" s="27"/>
      <c r="K57" s="25"/>
      <c r="L57" s="25"/>
      <c r="M57" s="26"/>
      <c r="N57" s="27"/>
      <c r="O57" s="28"/>
      <c r="P57" s="29"/>
      <c r="Q57" s="195"/>
      <c r="R57" s="195"/>
      <c r="S57" s="195"/>
      <c r="T57" s="207"/>
      <c r="U57" s="207"/>
      <c r="V57" s="207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</row>
    <row r="58" spans="1:69" s="184" customFormat="1" ht="22.5" x14ac:dyDescent="0.15">
      <c r="A58" s="334"/>
      <c r="B58" s="186"/>
      <c r="C58" s="279" t="s">
        <v>447</v>
      </c>
      <c r="D58" s="277" t="s">
        <v>259</v>
      </c>
      <c r="E58" s="280">
        <f>ROUND(E57*1.2,2)</f>
        <v>59.52</v>
      </c>
      <c r="F58" s="26"/>
      <c r="G58" s="61"/>
      <c r="H58" s="26"/>
      <c r="I58" s="27"/>
      <c r="J58" s="27"/>
      <c r="K58" s="25"/>
      <c r="L58" s="25"/>
      <c r="M58" s="26"/>
      <c r="N58" s="27"/>
      <c r="O58" s="28"/>
      <c r="P58" s="29"/>
      <c r="Q58" s="195"/>
      <c r="R58" s="195"/>
      <c r="S58" s="195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</row>
    <row r="59" spans="1:69" s="230" customFormat="1" ht="22.5" x14ac:dyDescent="0.15">
      <c r="A59" s="225"/>
      <c r="B59" s="226"/>
      <c r="C59" s="279" t="s">
        <v>448</v>
      </c>
      <c r="D59" s="277" t="s">
        <v>259</v>
      </c>
      <c r="E59" s="280">
        <f>ROUND(E57*2,2)</f>
        <v>99.2</v>
      </c>
      <c r="F59" s="221"/>
      <c r="G59" s="237"/>
      <c r="H59" s="221"/>
      <c r="I59" s="222"/>
      <c r="J59" s="222"/>
      <c r="K59" s="25"/>
      <c r="L59" s="25"/>
      <c r="M59" s="26"/>
      <c r="N59" s="27"/>
      <c r="O59" s="28"/>
      <c r="P59" s="29"/>
      <c r="Q59" s="195"/>
      <c r="R59" s="195"/>
      <c r="S59" s="195"/>
      <c r="T59" s="229"/>
      <c r="U59" s="102"/>
      <c r="V59" s="207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  <c r="AQ59" s="229"/>
      <c r="AR59" s="229"/>
      <c r="AS59" s="229"/>
      <c r="AT59" s="229"/>
      <c r="AU59" s="229"/>
      <c r="AV59" s="229"/>
      <c r="AW59" s="229"/>
      <c r="AX59" s="229"/>
      <c r="AY59" s="229"/>
      <c r="AZ59" s="229"/>
      <c r="BA59" s="229"/>
      <c r="BB59" s="229"/>
      <c r="BC59" s="229"/>
      <c r="BD59" s="229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229"/>
      <c r="BP59" s="229"/>
    </row>
    <row r="60" spans="1:69" s="220" customFormat="1" ht="22.5" x14ac:dyDescent="0.2">
      <c r="A60" s="334"/>
      <c r="B60" s="182"/>
      <c r="C60" s="279" t="s">
        <v>449</v>
      </c>
      <c r="D60" s="277" t="s">
        <v>259</v>
      </c>
      <c r="E60" s="280">
        <f>E58</f>
        <v>59.52</v>
      </c>
      <c r="F60" s="221"/>
      <c r="G60" s="237"/>
      <c r="H60" s="221"/>
      <c r="I60" s="222"/>
      <c r="J60" s="222"/>
      <c r="K60" s="25"/>
      <c r="L60" s="25"/>
      <c r="M60" s="26"/>
      <c r="N60" s="27"/>
      <c r="O60" s="28"/>
      <c r="P60" s="29"/>
      <c r="Q60" s="195"/>
      <c r="R60" s="195"/>
      <c r="S60" s="195"/>
      <c r="T60" s="207"/>
      <c r="U60" s="207"/>
      <c r="V60" s="207"/>
      <c r="W60" s="207"/>
      <c r="X60" s="207"/>
      <c r="Y60" s="207"/>
      <c r="Z60" s="207"/>
      <c r="AA60" s="207"/>
      <c r="AB60" s="207"/>
      <c r="AC60" s="207"/>
      <c r="AD60" s="207"/>
      <c r="AE60" s="207"/>
      <c r="AF60" s="207"/>
      <c r="AG60" s="207"/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</row>
    <row r="61" spans="1:69" s="220" customFormat="1" x14ac:dyDescent="0.2">
      <c r="A61" s="334"/>
      <c r="B61" s="182"/>
      <c r="C61" s="279" t="s">
        <v>450</v>
      </c>
      <c r="D61" s="121" t="s">
        <v>403</v>
      </c>
      <c r="E61" s="126">
        <f>ROUND(E58*5/100,2)</f>
        <v>2.98</v>
      </c>
      <c r="F61" s="221"/>
      <c r="G61" s="237"/>
      <c r="H61" s="221"/>
      <c r="I61" s="222"/>
      <c r="J61" s="222"/>
      <c r="K61" s="25"/>
      <c r="L61" s="25"/>
      <c r="M61" s="26"/>
      <c r="N61" s="27"/>
      <c r="O61" s="28"/>
      <c r="P61" s="29"/>
      <c r="Q61" s="195"/>
      <c r="R61" s="195"/>
      <c r="S61" s="195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19"/>
      <c r="BN61" s="219"/>
      <c r="BO61" s="219"/>
      <c r="BP61" s="219"/>
    </row>
    <row r="62" spans="1:69" s="220" customFormat="1" ht="22.5" x14ac:dyDescent="0.2">
      <c r="A62" s="334"/>
      <c r="B62" s="186"/>
      <c r="C62" s="279" t="s">
        <v>451</v>
      </c>
      <c r="D62" s="121" t="s">
        <v>403</v>
      </c>
      <c r="E62" s="126">
        <f>ROUND(E57*4/1000,2)</f>
        <v>0.2</v>
      </c>
      <c r="F62" s="221"/>
      <c r="G62" s="237"/>
      <c r="H62" s="221"/>
      <c r="I62" s="222"/>
      <c r="J62" s="222"/>
      <c r="K62" s="25"/>
      <c r="L62" s="25"/>
      <c r="M62" s="26"/>
      <c r="N62" s="27"/>
      <c r="O62" s="28"/>
      <c r="P62" s="29"/>
      <c r="Q62" s="195"/>
      <c r="R62" s="195"/>
      <c r="S62" s="195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19"/>
      <c r="BN62" s="219"/>
      <c r="BO62" s="219"/>
      <c r="BP62" s="219"/>
    </row>
    <row r="63" spans="1:69" s="220" customFormat="1" ht="33.75" x14ac:dyDescent="0.2">
      <c r="A63" s="334" t="s">
        <v>555</v>
      </c>
      <c r="B63" s="182"/>
      <c r="C63" s="276" t="s">
        <v>452</v>
      </c>
      <c r="D63" s="277" t="s">
        <v>43</v>
      </c>
      <c r="E63" s="278">
        <f>E57</f>
        <v>49.6</v>
      </c>
      <c r="F63" s="26"/>
      <c r="G63" s="61"/>
      <c r="H63" s="221"/>
      <c r="I63" s="222"/>
      <c r="J63" s="222"/>
      <c r="K63" s="25"/>
      <c r="L63" s="25"/>
      <c r="M63" s="26"/>
      <c r="N63" s="27"/>
      <c r="O63" s="28"/>
      <c r="P63" s="29"/>
      <c r="Q63" s="195"/>
      <c r="R63" s="195"/>
      <c r="S63" s="195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19"/>
      <c r="BN63" s="219"/>
      <c r="BO63" s="219"/>
      <c r="BP63" s="219"/>
    </row>
    <row r="64" spans="1:69" s="220" customFormat="1" ht="22.5" x14ac:dyDescent="0.2">
      <c r="A64" s="334"/>
      <c r="B64" s="182"/>
      <c r="C64" s="279" t="s">
        <v>453</v>
      </c>
      <c r="D64" s="277" t="s">
        <v>43</v>
      </c>
      <c r="E64" s="126">
        <f>ROUND(E63*1.15,2)</f>
        <v>57.04</v>
      </c>
      <c r="F64" s="26"/>
      <c r="G64" s="61"/>
      <c r="H64" s="221"/>
      <c r="I64" s="222"/>
      <c r="J64" s="222"/>
      <c r="K64" s="25"/>
      <c r="L64" s="25"/>
      <c r="M64" s="26"/>
      <c r="N64" s="27"/>
      <c r="O64" s="28"/>
      <c r="P64" s="29"/>
      <c r="Q64" s="195"/>
      <c r="R64" s="195"/>
      <c r="S64" s="195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</row>
    <row r="65" spans="1:69" s="220" customFormat="1" ht="33.75" x14ac:dyDescent="0.2">
      <c r="A65" s="334" t="s">
        <v>556</v>
      </c>
      <c r="B65" s="186"/>
      <c r="C65" s="236" t="s">
        <v>454</v>
      </c>
      <c r="D65" s="121" t="s">
        <v>43</v>
      </c>
      <c r="E65" s="126">
        <f>ROUND(E63*2,1)</f>
        <v>99.2</v>
      </c>
      <c r="F65" s="26"/>
      <c r="G65" s="61"/>
      <c r="H65" s="221"/>
      <c r="I65" s="222"/>
      <c r="J65" s="222"/>
      <c r="K65" s="25"/>
      <c r="L65" s="25"/>
      <c r="M65" s="26"/>
      <c r="N65" s="27"/>
      <c r="O65" s="28"/>
      <c r="P65" s="29"/>
      <c r="Q65" s="195"/>
      <c r="R65" s="195"/>
      <c r="S65" s="195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19"/>
      <c r="BN65" s="219"/>
      <c r="BO65" s="219"/>
      <c r="BP65" s="219"/>
    </row>
    <row r="66" spans="1:69" s="220" customFormat="1" ht="45" x14ac:dyDescent="0.2">
      <c r="A66" s="334"/>
      <c r="B66" s="182"/>
      <c r="C66" s="187" t="s">
        <v>455</v>
      </c>
      <c r="D66" s="121" t="s">
        <v>43</v>
      </c>
      <c r="E66" s="126">
        <f>ROUND(E65*1.15,2)</f>
        <v>114.08</v>
      </c>
      <c r="F66" s="26"/>
      <c r="G66" s="61"/>
      <c r="H66" s="221"/>
      <c r="I66" s="222"/>
      <c r="J66" s="222"/>
      <c r="K66" s="25"/>
      <c r="L66" s="25"/>
      <c r="M66" s="26"/>
      <c r="N66" s="27"/>
      <c r="O66" s="28"/>
      <c r="P66" s="29"/>
      <c r="Q66" s="195"/>
      <c r="R66" s="195"/>
      <c r="S66" s="195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19"/>
      <c r="BN66" s="219"/>
      <c r="BO66" s="219"/>
      <c r="BP66" s="219"/>
    </row>
    <row r="67" spans="1:69" s="220" customFormat="1" ht="22.5" x14ac:dyDescent="0.2">
      <c r="A67" s="225"/>
      <c r="B67" s="226"/>
      <c r="C67" s="187" t="s">
        <v>456</v>
      </c>
      <c r="D67" s="121" t="s">
        <v>403</v>
      </c>
      <c r="E67" s="126">
        <f>ROUND(E65*15/1000,2)</f>
        <v>1.49</v>
      </c>
      <c r="F67" s="26"/>
      <c r="G67" s="61"/>
      <c r="H67" s="221"/>
      <c r="I67" s="222"/>
      <c r="J67" s="222"/>
      <c r="K67" s="25"/>
      <c r="L67" s="25"/>
      <c r="M67" s="26"/>
      <c r="N67" s="27"/>
      <c r="O67" s="28"/>
      <c r="P67" s="29"/>
      <c r="Q67" s="195"/>
      <c r="R67" s="195"/>
      <c r="S67" s="195"/>
      <c r="T67" s="207"/>
      <c r="U67" s="207"/>
      <c r="V67" s="207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19"/>
      <c r="BN67" s="219"/>
      <c r="BO67" s="219"/>
      <c r="BP67" s="219"/>
    </row>
    <row r="68" spans="1:69" s="220" customFormat="1" ht="33.75" x14ac:dyDescent="0.2">
      <c r="A68" s="334" t="s">
        <v>557</v>
      </c>
      <c r="B68" s="182"/>
      <c r="C68" s="236" t="s">
        <v>457</v>
      </c>
      <c r="D68" s="121" t="s">
        <v>43</v>
      </c>
      <c r="E68" s="126">
        <f>E65</f>
        <v>99.2</v>
      </c>
      <c r="F68" s="26"/>
      <c r="G68" s="61"/>
      <c r="H68" s="221"/>
      <c r="I68" s="222"/>
      <c r="J68" s="222"/>
      <c r="K68" s="25"/>
      <c r="L68" s="25"/>
      <c r="M68" s="26"/>
      <c r="N68" s="27"/>
      <c r="O68" s="28"/>
      <c r="P68" s="29"/>
      <c r="Q68" s="195"/>
      <c r="R68" s="195"/>
      <c r="S68" s="195"/>
      <c r="T68" s="207"/>
      <c r="U68" s="207"/>
      <c r="V68" s="207"/>
      <c r="W68" s="207"/>
      <c r="X68" s="207"/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19"/>
      <c r="BN68" s="219"/>
      <c r="BO68" s="219"/>
      <c r="BP68" s="219"/>
    </row>
    <row r="69" spans="1:69" s="220" customFormat="1" ht="45" x14ac:dyDescent="0.2">
      <c r="A69" s="225"/>
      <c r="B69" s="226"/>
      <c r="C69" s="187" t="s">
        <v>455</v>
      </c>
      <c r="D69" s="121" t="s">
        <v>43</v>
      </c>
      <c r="E69" s="126">
        <f>ROUND(E68*1.15,2)</f>
        <v>114.08</v>
      </c>
      <c r="F69" s="26"/>
      <c r="G69" s="61"/>
      <c r="H69" s="221"/>
      <c r="I69" s="222"/>
      <c r="J69" s="222"/>
      <c r="K69" s="25"/>
      <c r="L69" s="25"/>
      <c r="M69" s="26"/>
      <c r="N69" s="27"/>
      <c r="O69" s="28"/>
      <c r="P69" s="29"/>
      <c r="Q69" s="195"/>
      <c r="R69" s="195"/>
      <c r="S69" s="195"/>
      <c r="T69" s="207"/>
      <c r="U69" s="207"/>
      <c r="V69" s="207"/>
      <c r="W69" s="207"/>
      <c r="X69" s="207"/>
      <c r="Y69" s="207"/>
      <c r="Z69" s="207"/>
      <c r="AA69" s="207"/>
      <c r="AB69" s="207"/>
      <c r="AC69" s="207"/>
      <c r="AD69" s="207"/>
      <c r="AE69" s="207"/>
      <c r="AF69" s="207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19"/>
      <c r="BP69" s="219"/>
    </row>
    <row r="70" spans="1:69" s="220" customFormat="1" ht="22.5" x14ac:dyDescent="0.2">
      <c r="A70" s="334"/>
      <c r="B70" s="182"/>
      <c r="C70" s="187" t="s">
        <v>458</v>
      </c>
      <c r="D70" s="121" t="s">
        <v>403</v>
      </c>
      <c r="E70" s="126">
        <f>ROUND(E68*20/1000,2)</f>
        <v>1.98</v>
      </c>
      <c r="F70" s="26"/>
      <c r="G70" s="61"/>
      <c r="H70" s="221"/>
      <c r="I70" s="222"/>
      <c r="J70" s="222"/>
      <c r="K70" s="25"/>
      <c r="L70" s="25"/>
      <c r="M70" s="26"/>
      <c r="N70" s="27"/>
      <c r="O70" s="28"/>
      <c r="P70" s="29"/>
      <c r="Q70" s="195"/>
      <c r="R70" s="195"/>
      <c r="S70" s="195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</row>
    <row r="71" spans="1:69" s="184" customFormat="1" ht="11.25" x14ac:dyDescent="0.15">
      <c r="A71" s="334"/>
      <c r="B71" s="182"/>
      <c r="C71" s="178" t="s">
        <v>463</v>
      </c>
      <c r="D71" s="178" t="s">
        <v>43</v>
      </c>
      <c r="E71" s="205">
        <v>56.4</v>
      </c>
      <c r="F71" s="26"/>
      <c r="G71" s="61"/>
      <c r="H71" s="26"/>
      <c r="I71" s="27"/>
      <c r="J71" s="27"/>
      <c r="K71" s="25"/>
      <c r="L71" s="25"/>
      <c r="M71" s="26"/>
      <c r="N71" s="27"/>
      <c r="O71" s="28"/>
      <c r="P71" s="29"/>
      <c r="Q71" s="195"/>
      <c r="R71" s="195"/>
      <c r="S71" s="195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102"/>
      <c r="AY71" s="102"/>
      <c r="AZ71" s="102"/>
      <c r="BA71" s="102"/>
      <c r="BB71" s="102"/>
      <c r="BC71" s="102"/>
      <c r="BD71" s="102"/>
      <c r="BE71" s="102"/>
      <c r="BF71" s="102"/>
      <c r="BG71" s="102"/>
      <c r="BH71" s="102"/>
      <c r="BI71" s="102"/>
      <c r="BJ71" s="102"/>
      <c r="BK71" s="102"/>
      <c r="BL71" s="102"/>
      <c r="BM71" s="102"/>
      <c r="BN71" s="102"/>
      <c r="BO71" s="102"/>
      <c r="BP71" s="102"/>
      <c r="BQ71" s="102"/>
    </row>
    <row r="72" spans="1:69" s="184" customFormat="1" ht="33.75" x14ac:dyDescent="0.15">
      <c r="A72" s="334" t="s">
        <v>558</v>
      </c>
      <c r="B72" s="176"/>
      <c r="C72" s="206" t="s">
        <v>460</v>
      </c>
      <c r="D72" s="180" t="s">
        <v>43</v>
      </c>
      <c r="E72" s="181">
        <f>E71*2</f>
        <v>112.8</v>
      </c>
      <c r="F72" s="26"/>
      <c r="G72" s="61"/>
      <c r="H72" s="26"/>
      <c r="I72" s="27"/>
      <c r="J72" s="27"/>
      <c r="K72" s="25"/>
      <c r="L72" s="25"/>
      <c r="M72" s="26"/>
      <c r="N72" s="27"/>
      <c r="O72" s="28"/>
      <c r="P72" s="29"/>
      <c r="Q72" s="195"/>
      <c r="R72" s="195"/>
      <c r="S72" s="195"/>
      <c r="T72" s="90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102"/>
      <c r="BF72" s="102"/>
      <c r="BG72" s="102"/>
      <c r="BH72" s="102"/>
      <c r="BI72" s="102"/>
      <c r="BJ72" s="102"/>
      <c r="BK72" s="102"/>
      <c r="BL72" s="102"/>
      <c r="BM72" s="102"/>
      <c r="BN72" s="102"/>
    </row>
    <row r="73" spans="1:69" s="184" customFormat="1" ht="22.5" x14ac:dyDescent="0.15">
      <c r="A73" s="334"/>
      <c r="B73" s="186"/>
      <c r="C73" s="185" t="s">
        <v>268</v>
      </c>
      <c r="D73" s="180" t="s">
        <v>43</v>
      </c>
      <c r="E73" s="183">
        <f>E72</f>
        <v>112.8</v>
      </c>
      <c r="F73" s="26"/>
      <c r="G73" s="61"/>
      <c r="H73" s="26"/>
      <c r="I73" s="27"/>
      <c r="J73" s="27"/>
      <c r="K73" s="25"/>
      <c r="L73" s="25"/>
      <c r="M73" s="26"/>
      <c r="N73" s="27"/>
      <c r="O73" s="28"/>
      <c r="P73" s="29"/>
      <c r="Q73" s="195"/>
      <c r="R73" s="195"/>
      <c r="S73" s="195"/>
      <c r="T73" s="90"/>
      <c r="U73" s="102"/>
      <c r="V73" s="207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102"/>
      <c r="AY73" s="102"/>
      <c r="AZ73" s="102"/>
      <c r="BA73" s="102"/>
      <c r="BB73" s="102"/>
      <c r="BC73" s="102"/>
      <c r="BD73" s="102"/>
      <c r="BE73" s="102"/>
      <c r="BF73" s="102"/>
      <c r="BG73" s="102"/>
      <c r="BH73" s="102"/>
      <c r="BI73" s="102"/>
      <c r="BJ73" s="102"/>
      <c r="BK73" s="102"/>
      <c r="BL73" s="102"/>
      <c r="BM73" s="102"/>
      <c r="BN73" s="102"/>
    </row>
    <row r="74" spans="1:69" s="184" customFormat="1" ht="22.5" x14ac:dyDescent="0.15">
      <c r="A74" s="334"/>
      <c r="B74" s="186"/>
      <c r="C74" s="185" t="s">
        <v>248</v>
      </c>
      <c r="D74" s="180" t="s">
        <v>43</v>
      </c>
      <c r="E74" s="181">
        <f>ROUND(E73*10%,2)</f>
        <v>11.28</v>
      </c>
      <c r="F74" s="26"/>
      <c r="G74" s="61"/>
      <c r="H74" s="26"/>
      <c r="I74" s="27"/>
      <c r="J74" s="27"/>
      <c r="K74" s="25"/>
      <c r="L74" s="25"/>
      <c r="M74" s="26"/>
      <c r="N74" s="27"/>
      <c r="O74" s="28"/>
      <c r="P74" s="29"/>
      <c r="Q74" s="195"/>
      <c r="R74" s="195"/>
      <c r="S74" s="195"/>
      <c r="T74" s="90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  <c r="BC74" s="102"/>
      <c r="BD74" s="102"/>
      <c r="BE74" s="102"/>
      <c r="BF74" s="102"/>
      <c r="BG74" s="102"/>
      <c r="BH74" s="102"/>
      <c r="BI74" s="102"/>
      <c r="BJ74" s="102"/>
      <c r="BK74" s="102"/>
      <c r="BL74" s="102"/>
      <c r="BM74" s="102"/>
      <c r="BN74" s="102"/>
    </row>
    <row r="75" spans="1:69" s="184" customFormat="1" ht="33.75" x14ac:dyDescent="0.15">
      <c r="A75" s="334"/>
      <c r="B75" s="182"/>
      <c r="C75" s="185" t="s">
        <v>269</v>
      </c>
      <c r="D75" s="180" t="s">
        <v>43</v>
      </c>
      <c r="E75" s="183">
        <f>E72</f>
        <v>112.8</v>
      </c>
      <c r="F75" s="26"/>
      <c r="G75" s="61"/>
      <c r="H75" s="26"/>
      <c r="I75" s="27"/>
      <c r="J75" s="27"/>
      <c r="K75" s="25"/>
      <c r="L75" s="25"/>
      <c r="M75" s="26"/>
      <c r="N75" s="27"/>
      <c r="O75" s="28"/>
      <c r="P75" s="29"/>
      <c r="Q75" s="195"/>
      <c r="R75" s="195"/>
      <c r="S75" s="195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  <c r="BO75" s="102"/>
      <c r="BP75" s="102"/>
      <c r="BQ75" s="102"/>
    </row>
    <row r="76" spans="1:69" s="184" customFormat="1" ht="22.5" x14ac:dyDescent="0.15">
      <c r="A76" s="334" t="s">
        <v>559</v>
      </c>
      <c r="B76" s="182"/>
      <c r="C76" s="179" t="s">
        <v>461</v>
      </c>
      <c r="D76" s="180" t="s">
        <v>51</v>
      </c>
      <c r="E76" s="181">
        <f>(E71*2.633*2*2)/1000</f>
        <v>0.59400479999999989</v>
      </c>
      <c r="F76" s="26"/>
      <c r="G76" s="61"/>
      <c r="H76" s="26"/>
      <c r="I76" s="27"/>
      <c r="J76" s="27"/>
      <c r="K76" s="25"/>
      <c r="L76" s="25"/>
      <c r="M76" s="26"/>
      <c r="N76" s="27"/>
      <c r="O76" s="28"/>
      <c r="P76" s="29"/>
      <c r="Q76" s="195"/>
      <c r="R76" s="195"/>
      <c r="S76" s="195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  <c r="BC76" s="102"/>
      <c r="BD76" s="102"/>
      <c r="BE76" s="102"/>
      <c r="BF76" s="102"/>
      <c r="BG76" s="102"/>
      <c r="BH76" s="102"/>
      <c r="BI76" s="102"/>
      <c r="BJ76" s="102"/>
      <c r="BK76" s="102"/>
      <c r="BL76" s="102"/>
      <c r="BM76" s="102"/>
      <c r="BN76" s="102"/>
      <c r="BO76" s="102"/>
      <c r="BP76" s="102"/>
      <c r="BQ76" s="102"/>
    </row>
    <row r="77" spans="1:69" s="184" customFormat="1" ht="22.5" x14ac:dyDescent="0.15">
      <c r="A77" s="334"/>
      <c r="B77" s="176"/>
      <c r="C77" s="185" t="s">
        <v>249</v>
      </c>
      <c r="D77" s="180" t="s">
        <v>51</v>
      </c>
      <c r="E77" s="183">
        <f>E76</f>
        <v>0.59400479999999989</v>
      </c>
      <c r="F77" s="26"/>
      <c r="G77" s="61"/>
      <c r="H77" s="26"/>
      <c r="I77" s="27"/>
      <c r="J77" s="27"/>
      <c r="K77" s="25"/>
      <c r="L77" s="25"/>
      <c r="M77" s="26"/>
      <c r="N77" s="27"/>
      <c r="O77" s="28"/>
      <c r="P77" s="29"/>
      <c r="Q77" s="195"/>
      <c r="R77" s="195"/>
      <c r="S77" s="195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02"/>
      <c r="BC77" s="102"/>
      <c r="BD77" s="102"/>
      <c r="BE77" s="102"/>
      <c r="BF77" s="102"/>
      <c r="BG77" s="102"/>
      <c r="BH77" s="102"/>
      <c r="BI77" s="102"/>
      <c r="BJ77" s="102"/>
      <c r="BK77" s="102"/>
      <c r="BL77" s="102"/>
      <c r="BM77" s="102"/>
      <c r="BN77" s="102"/>
      <c r="BO77" s="102"/>
      <c r="BP77" s="102"/>
      <c r="BQ77" s="102"/>
    </row>
    <row r="78" spans="1:69" s="184" customFormat="1" ht="22.5" x14ac:dyDescent="0.15">
      <c r="A78" s="334"/>
      <c r="B78" s="186"/>
      <c r="C78" s="185" t="s">
        <v>250</v>
      </c>
      <c r="D78" s="180" t="s">
        <v>48</v>
      </c>
      <c r="E78" s="183">
        <v>1</v>
      </c>
      <c r="F78" s="26"/>
      <c r="G78" s="61"/>
      <c r="H78" s="26"/>
      <c r="I78" s="27"/>
      <c r="J78" s="27"/>
      <c r="K78" s="25"/>
      <c r="L78" s="25"/>
      <c r="M78" s="26"/>
      <c r="N78" s="27"/>
      <c r="O78" s="28"/>
      <c r="P78" s="29"/>
      <c r="Q78" s="195"/>
      <c r="R78" s="195"/>
      <c r="S78" s="195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  <c r="BB78" s="102"/>
      <c r="BC78" s="102"/>
      <c r="BD78" s="102"/>
      <c r="BE78" s="102"/>
      <c r="BF78" s="102"/>
      <c r="BG78" s="102"/>
      <c r="BH78" s="102"/>
      <c r="BI78" s="102"/>
      <c r="BJ78" s="102"/>
      <c r="BK78" s="102"/>
      <c r="BL78" s="102"/>
      <c r="BM78" s="102"/>
      <c r="BN78" s="102"/>
      <c r="BO78" s="102"/>
      <c r="BP78" s="102"/>
      <c r="BQ78" s="102"/>
    </row>
    <row r="79" spans="1:69" s="184" customFormat="1" ht="22.5" x14ac:dyDescent="0.15">
      <c r="A79" s="334" t="s">
        <v>560</v>
      </c>
      <c r="B79" s="176"/>
      <c r="C79" s="179" t="s">
        <v>462</v>
      </c>
      <c r="D79" s="180" t="s">
        <v>42</v>
      </c>
      <c r="E79" s="181">
        <f>ROUND(E71*0.15,2)</f>
        <v>8.4600000000000009</v>
      </c>
      <c r="F79" s="26"/>
      <c r="G79" s="61"/>
      <c r="H79" s="26"/>
      <c r="I79" s="27"/>
      <c r="J79" s="27"/>
      <c r="K79" s="25"/>
      <c r="L79" s="25"/>
      <c r="M79" s="26"/>
      <c r="N79" s="27"/>
      <c r="O79" s="28"/>
      <c r="P79" s="29"/>
      <c r="Q79" s="195"/>
      <c r="R79" s="195"/>
      <c r="S79" s="195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102"/>
      <c r="AY79" s="102"/>
      <c r="AZ79" s="102"/>
      <c r="BA79" s="102"/>
      <c r="BB79" s="102"/>
      <c r="BC79" s="102"/>
      <c r="BD79" s="102"/>
      <c r="BE79" s="102"/>
      <c r="BF79" s="102"/>
      <c r="BG79" s="102"/>
      <c r="BH79" s="102"/>
      <c r="BI79" s="102"/>
      <c r="BJ79" s="102"/>
      <c r="BK79" s="102"/>
      <c r="BL79" s="102"/>
      <c r="BM79" s="102"/>
      <c r="BN79" s="102"/>
      <c r="BO79" s="102"/>
      <c r="BP79" s="102"/>
      <c r="BQ79" s="102"/>
    </row>
    <row r="80" spans="1:69" s="184" customFormat="1" ht="11.25" x14ac:dyDescent="0.15">
      <c r="A80" s="334"/>
      <c r="B80" s="186"/>
      <c r="C80" s="187" t="s">
        <v>657</v>
      </c>
      <c r="D80" s="180" t="s">
        <v>42</v>
      </c>
      <c r="E80" s="181">
        <f>ROUND(E79*1.1,2)</f>
        <v>9.31</v>
      </c>
      <c r="F80" s="26"/>
      <c r="G80" s="61"/>
      <c r="H80" s="26"/>
      <c r="I80" s="27"/>
      <c r="J80" s="27"/>
      <c r="K80" s="25"/>
      <c r="L80" s="25"/>
      <c r="M80" s="26"/>
      <c r="N80" s="27"/>
      <c r="O80" s="28"/>
      <c r="P80" s="29"/>
      <c r="Q80" s="195"/>
      <c r="R80" s="195"/>
      <c r="S80" s="195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</row>
    <row r="81" spans="1:69" s="184" customFormat="1" ht="11.25" x14ac:dyDescent="0.15">
      <c r="A81" s="334"/>
      <c r="B81" s="186"/>
      <c r="C81" s="185" t="s">
        <v>245</v>
      </c>
      <c r="D81" s="180" t="s">
        <v>246</v>
      </c>
      <c r="E81" s="181">
        <f>ROUND(E80/8*1,2)</f>
        <v>1.1599999999999999</v>
      </c>
      <c r="F81" s="26"/>
      <c r="G81" s="61"/>
      <c r="H81" s="26"/>
      <c r="I81" s="27"/>
      <c r="J81" s="27"/>
      <c r="K81" s="25"/>
      <c r="L81" s="25"/>
      <c r="M81" s="26"/>
      <c r="N81" s="27"/>
      <c r="O81" s="28"/>
      <c r="P81" s="29"/>
      <c r="Q81" s="195"/>
      <c r="R81" s="195"/>
      <c r="S81" s="195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2"/>
      <c r="BA81" s="102"/>
      <c r="BB81" s="102"/>
      <c r="BC81" s="102"/>
      <c r="BD81" s="102"/>
      <c r="BE81" s="102"/>
      <c r="BF81" s="102"/>
      <c r="BG81" s="102"/>
      <c r="BH81" s="102"/>
      <c r="BI81" s="102"/>
      <c r="BJ81" s="102"/>
      <c r="BK81" s="102"/>
      <c r="BL81" s="102"/>
      <c r="BM81" s="102"/>
      <c r="BN81" s="102"/>
      <c r="BO81" s="102"/>
      <c r="BP81" s="102"/>
      <c r="BQ81" s="102"/>
    </row>
    <row r="82" spans="1:69" s="184" customFormat="1" ht="12" thickBot="1" x14ac:dyDescent="0.2">
      <c r="A82" s="334"/>
      <c r="B82" s="186"/>
      <c r="C82" s="185" t="s">
        <v>247</v>
      </c>
      <c r="D82" s="180" t="s">
        <v>246</v>
      </c>
      <c r="E82" s="181">
        <f>ROUND(E80/8*2,2)</f>
        <v>2.33</v>
      </c>
      <c r="F82" s="26"/>
      <c r="G82" s="61"/>
      <c r="H82" s="26"/>
      <c r="I82" s="27"/>
      <c r="J82" s="27"/>
      <c r="K82" s="25"/>
      <c r="L82" s="25"/>
      <c r="M82" s="26"/>
      <c r="N82" s="27"/>
      <c r="O82" s="28"/>
      <c r="P82" s="29"/>
      <c r="Q82" s="195"/>
      <c r="R82" s="195"/>
      <c r="S82" s="195"/>
      <c r="T82" s="90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102"/>
      <c r="AY82" s="102"/>
      <c r="AZ82" s="102"/>
      <c r="BA82" s="102"/>
      <c r="BB82" s="102"/>
      <c r="BC82" s="102"/>
      <c r="BD82" s="102"/>
      <c r="BE82" s="102"/>
      <c r="BF82" s="102"/>
      <c r="BG82" s="102"/>
      <c r="BH82" s="102"/>
      <c r="BI82" s="102"/>
      <c r="BJ82" s="102"/>
      <c r="BK82" s="102"/>
      <c r="BL82" s="102"/>
      <c r="BM82" s="102"/>
      <c r="BN82" s="102"/>
    </row>
    <row r="83" spans="1:69" ht="15" customHeight="1" thickBo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2" t="s">
        <v>130</v>
      </c>
      <c r="L83" s="33">
        <f>ROUND(SUM(L15:L82),2)</f>
        <v>0</v>
      </c>
      <c r="M83" s="33">
        <f>ROUND(SUM(M15:M82),2)</f>
        <v>0</v>
      </c>
      <c r="N83" s="34">
        <f>ROUND(SUM(N15:N82),2)</f>
        <v>0</v>
      </c>
      <c r="O83" s="35">
        <f>ROUND(SUM(O15:O82),2)</f>
        <v>0</v>
      </c>
      <c r="P83" s="36">
        <f>ROUND(SUM(P15:P82),2)</f>
        <v>0</v>
      </c>
    </row>
    <row r="84" spans="1:69" ht="34.9" customHeight="1" x14ac:dyDescent="0.2">
      <c r="A84" s="37"/>
      <c r="B84" s="7"/>
      <c r="C84" s="38"/>
      <c r="D84" s="39"/>
      <c r="E84" s="5"/>
      <c r="F84" s="5"/>
      <c r="G84" s="5"/>
      <c r="H84" s="7"/>
      <c r="I84" s="7"/>
      <c r="J84" s="7"/>
      <c r="K84" s="7"/>
      <c r="L84" s="7"/>
      <c r="M84" s="7"/>
      <c r="N84" s="7"/>
      <c r="O84" s="7"/>
      <c r="P84" s="7"/>
    </row>
    <row r="85" spans="1:69" x14ac:dyDescent="0.2">
      <c r="A85" s="40"/>
      <c r="B85" s="41"/>
      <c r="C85" s="41" t="s">
        <v>10</v>
      </c>
      <c r="D85" s="42"/>
      <c r="E85" s="43"/>
      <c r="F85" s="44"/>
      <c r="G85" s="42"/>
      <c r="H85" s="45">
        <f>Kopsavilkums!C$43</f>
        <v>0</v>
      </c>
      <c r="I85" s="46" t="str">
        <f>Kopsavilkums!D$43</f>
        <v>datums</v>
      </c>
      <c r="J85" s="46"/>
      <c r="K85" s="41" t="s">
        <v>11</v>
      </c>
      <c r="L85" s="47"/>
      <c r="M85" s="44"/>
      <c r="N85" s="44"/>
      <c r="O85" s="45">
        <f>Kopsavilkums!C$48</f>
        <v>0</v>
      </c>
      <c r="P85" s="46" t="str">
        <f>Kopsavilkums!D$48</f>
        <v>datums</v>
      </c>
    </row>
    <row r="86" spans="1:69" x14ac:dyDescent="0.2">
      <c r="A86" s="48"/>
      <c r="B86" s="49"/>
      <c r="C86" s="50"/>
      <c r="D86" s="407" t="s">
        <v>12</v>
      </c>
      <c r="E86" s="407"/>
      <c r="F86" s="407"/>
      <c r="G86" s="407"/>
      <c r="H86" s="407"/>
      <c r="I86" s="7"/>
      <c r="J86" s="7"/>
      <c r="K86" s="7"/>
      <c r="L86" s="407" t="s">
        <v>12</v>
      </c>
      <c r="M86" s="407"/>
      <c r="N86" s="407"/>
      <c r="O86" s="407"/>
      <c r="P86" s="7"/>
    </row>
    <row r="87" spans="1:69" s="54" customFormat="1" x14ac:dyDescent="0.2">
      <c r="A87" s="37"/>
      <c r="B87" s="7"/>
      <c r="C87" s="38"/>
      <c r="D87" s="5"/>
      <c r="E87" s="5"/>
      <c r="F87" s="5"/>
      <c r="G87" s="5"/>
      <c r="H87" s="7"/>
      <c r="I87" s="7"/>
      <c r="J87" s="7"/>
      <c r="K87" s="7"/>
      <c r="L87" s="7"/>
      <c r="M87" s="7"/>
      <c r="N87" s="7"/>
      <c r="O87" s="7"/>
      <c r="P87" s="7"/>
      <c r="Q87" s="195"/>
      <c r="R87" s="195"/>
      <c r="S87" s="195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BO87" s="4"/>
      <c r="BP87" s="4"/>
      <c r="BQ87" s="4"/>
    </row>
    <row r="88" spans="1:69" s="54" customFormat="1" x14ac:dyDescent="0.2">
      <c r="A88" s="51"/>
      <c r="B88" s="46"/>
      <c r="C88" s="52"/>
      <c r="D88" s="52" t="str">
        <f>Kopsavilkums!B$46</f>
        <v>-</v>
      </c>
      <c r="E88" s="5"/>
      <c r="F88" s="5"/>
      <c r="G88" s="5"/>
      <c r="H88" s="7"/>
      <c r="I88" s="7"/>
      <c r="J88" s="7"/>
      <c r="K88" s="7"/>
      <c r="L88" s="52" t="str">
        <f>Kopsavilkums!B$51</f>
        <v>Sert.Nr.</v>
      </c>
      <c r="M88" s="53"/>
      <c r="N88" s="7"/>
      <c r="O88" s="7"/>
      <c r="P88" s="7"/>
      <c r="Q88" s="195"/>
      <c r="R88" s="195"/>
      <c r="S88" s="195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BO88" s="4"/>
      <c r="BP88" s="4"/>
      <c r="BQ88" s="4"/>
    </row>
    <row r="89" spans="1:69" s="54" customFormat="1" x14ac:dyDescent="0.25">
      <c r="Q89" s="195"/>
      <c r="R89" s="195"/>
      <c r="S89" s="195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</row>
    <row r="90" spans="1:69" s="54" customFormat="1" x14ac:dyDescent="0.25">
      <c r="Q90" s="195"/>
      <c r="R90" s="195"/>
      <c r="S90" s="195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</row>
    <row r="91" spans="1:69" s="54" customFormat="1" x14ac:dyDescent="0.25">
      <c r="Q91" s="195"/>
      <c r="R91" s="195"/>
      <c r="S91" s="195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</row>
    <row r="92" spans="1:69" s="54" customFormat="1" x14ac:dyDescent="0.25">
      <c r="Q92" s="195"/>
      <c r="R92" s="195"/>
      <c r="S92" s="195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</row>
    <row r="93" spans="1:69" s="54" customFormat="1" x14ac:dyDescent="0.25">
      <c r="Q93" s="195"/>
      <c r="R93" s="195"/>
      <c r="S93" s="195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</row>
    <row r="94" spans="1:69" s="54" customFormat="1" x14ac:dyDescent="0.25">
      <c r="Q94" s="195"/>
      <c r="R94" s="195"/>
      <c r="S94" s="195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</row>
    <row r="95" spans="1:69" s="54" customFormat="1" x14ac:dyDescent="0.25">
      <c r="Q95" s="195"/>
      <c r="R95" s="195"/>
      <c r="S95" s="195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</row>
    <row r="96" spans="1:69" s="54" customFormat="1" x14ac:dyDescent="0.25">
      <c r="Q96" s="195"/>
      <c r="R96" s="195"/>
      <c r="S96" s="195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</row>
    <row r="97" spans="17:45" s="54" customFormat="1" x14ac:dyDescent="0.25">
      <c r="Q97" s="195"/>
      <c r="R97" s="195"/>
      <c r="S97" s="195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</row>
    <row r="98" spans="17:45" s="54" customFormat="1" x14ac:dyDescent="0.25">
      <c r="Q98" s="195"/>
      <c r="R98" s="195"/>
      <c r="S98" s="195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</row>
    <row r="99" spans="17:45" s="54" customFormat="1" x14ac:dyDescent="0.25">
      <c r="Q99" s="195"/>
      <c r="R99" s="195"/>
      <c r="S99" s="195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</row>
    <row r="100" spans="17:45" s="54" customFormat="1" x14ac:dyDescent="0.25">
      <c r="Q100" s="195"/>
      <c r="R100" s="195"/>
      <c r="S100" s="195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</row>
    <row r="101" spans="17:45" s="54" customFormat="1" x14ac:dyDescent="0.25">
      <c r="Q101" s="195"/>
      <c r="R101" s="195"/>
      <c r="S101" s="195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</row>
    <row r="102" spans="17:45" s="54" customFormat="1" x14ac:dyDescent="0.25">
      <c r="Q102" s="195"/>
      <c r="R102" s="195"/>
      <c r="S102" s="195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</row>
    <row r="103" spans="17:45" s="54" customFormat="1" x14ac:dyDescent="0.25">
      <c r="Q103" s="195"/>
      <c r="R103" s="195"/>
      <c r="S103" s="195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</row>
    <row r="104" spans="17:45" s="54" customFormat="1" x14ac:dyDescent="0.25">
      <c r="Q104" s="195"/>
      <c r="R104" s="195"/>
      <c r="S104" s="195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</row>
    <row r="105" spans="17:45" s="54" customFormat="1" x14ac:dyDescent="0.25">
      <c r="Q105" s="195"/>
      <c r="R105" s="195"/>
      <c r="S105" s="195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</row>
    <row r="106" spans="17:45" s="54" customFormat="1" x14ac:dyDescent="0.25">
      <c r="Q106" s="195"/>
      <c r="R106" s="195"/>
      <c r="S106" s="195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</row>
    <row r="107" spans="17:45" s="54" customFormat="1" x14ac:dyDescent="0.25">
      <c r="Q107" s="195"/>
      <c r="R107" s="195"/>
      <c r="S107" s="195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</row>
    <row r="108" spans="17:45" s="54" customFormat="1" x14ac:dyDescent="0.25">
      <c r="Q108" s="195"/>
      <c r="R108" s="195"/>
      <c r="S108" s="195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</row>
    <row r="109" spans="17:45" s="54" customFormat="1" x14ac:dyDescent="0.25">
      <c r="Q109" s="195"/>
      <c r="R109" s="195"/>
      <c r="S109" s="195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</row>
    <row r="110" spans="17:45" s="54" customFormat="1" x14ac:dyDescent="0.25">
      <c r="Q110" s="195"/>
      <c r="R110" s="195"/>
      <c r="S110" s="195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</row>
    <row r="111" spans="17:45" s="54" customFormat="1" x14ac:dyDescent="0.25">
      <c r="Q111" s="195"/>
      <c r="R111" s="195"/>
      <c r="S111" s="195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</row>
    <row r="112" spans="17:45" s="54" customFormat="1" x14ac:dyDescent="0.25">
      <c r="Q112" s="195"/>
      <c r="R112" s="195"/>
      <c r="S112" s="195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</row>
    <row r="113" spans="17:45" s="54" customFormat="1" x14ac:dyDescent="0.25">
      <c r="Q113" s="195"/>
      <c r="R113" s="195"/>
      <c r="S113" s="195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</row>
    <row r="114" spans="17:45" s="54" customFormat="1" x14ac:dyDescent="0.25">
      <c r="Q114" s="195"/>
      <c r="R114" s="195"/>
      <c r="S114" s="195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</row>
    <row r="115" spans="17:45" s="54" customFormat="1" x14ac:dyDescent="0.25">
      <c r="Q115" s="195"/>
      <c r="R115" s="195"/>
      <c r="S115" s="195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</row>
    <row r="116" spans="17:45" s="54" customFormat="1" x14ac:dyDescent="0.25">
      <c r="Q116" s="195"/>
      <c r="R116" s="195"/>
      <c r="S116" s="195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</row>
    <row r="117" spans="17:45" s="54" customFormat="1" x14ac:dyDescent="0.25">
      <c r="Q117" s="195"/>
      <c r="R117" s="195"/>
      <c r="S117" s="195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</row>
    <row r="118" spans="17:45" s="54" customFormat="1" x14ac:dyDescent="0.25">
      <c r="Q118" s="195"/>
      <c r="R118" s="195"/>
      <c r="S118" s="195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</row>
    <row r="119" spans="17:45" s="54" customFormat="1" x14ac:dyDescent="0.25">
      <c r="Q119" s="195"/>
      <c r="R119" s="195"/>
      <c r="S119" s="195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</row>
    <row r="120" spans="17:45" s="54" customFormat="1" x14ac:dyDescent="0.25">
      <c r="Q120" s="195"/>
      <c r="R120" s="195"/>
      <c r="S120" s="195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</row>
    <row r="121" spans="17:45" s="54" customFormat="1" x14ac:dyDescent="0.25">
      <c r="Q121" s="195"/>
      <c r="R121" s="195"/>
      <c r="S121" s="195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</row>
    <row r="122" spans="17:45" s="54" customFormat="1" x14ac:dyDescent="0.25">
      <c r="Q122" s="195"/>
      <c r="R122" s="195"/>
      <c r="S122" s="195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</row>
    <row r="123" spans="17:45" s="54" customFormat="1" x14ac:dyDescent="0.25">
      <c r="Q123" s="195"/>
      <c r="R123" s="195"/>
      <c r="S123" s="195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</row>
    <row r="124" spans="17:45" s="54" customFormat="1" x14ac:dyDescent="0.25">
      <c r="Q124" s="195"/>
      <c r="R124" s="195"/>
      <c r="S124" s="195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</row>
    <row r="125" spans="17:45" s="54" customFormat="1" x14ac:dyDescent="0.25">
      <c r="Q125" s="195"/>
      <c r="R125" s="195"/>
      <c r="S125" s="195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</row>
    <row r="126" spans="17:45" s="54" customFormat="1" x14ac:dyDescent="0.25">
      <c r="Q126" s="195"/>
      <c r="R126" s="195"/>
      <c r="S126" s="195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</row>
    <row r="127" spans="17:45" s="54" customFormat="1" x14ac:dyDescent="0.25">
      <c r="Q127" s="195"/>
      <c r="R127" s="195"/>
      <c r="S127" s="195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</row>
    <row r="128" spans="17:45" s="54" customFormat="1" x14ac:dyDescent="0.25">
      <c r="Q128" s="195"/>
      <c r="R128" s="195"/>
      <c r="S128" s="195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</row>
    <row r="129" spans="17:45" s="54" customFormat="1" x14ac:dyDescent="0.25">
      <c r="Q129" s="195"/>
      <c r="R129" s="195"/>
      <c r="S129" s="195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</row>
    <row r="130" spans="17:45" s="54" customFormat="1" x14ac:dyDescent="0.25">
      <c r="Q130" s="195"/>
      <c r="R130" s="195"/>
      <c r="S130" s="195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</row>
    <row r="131" spans="17:45" s="54" customFormat="1" x14ac:dyDescent="0.25">
      <c r="Q131" s="195"/>
      <c r="R131" s="195"/>
      <c r="S131" s="195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</row>
    <row r="132" spans="17:45" s="54" customFormat="1" x14ac:dyDescent="0.25">
      <c r="Q132" s="195"/>
      <c r="R132" s="195"/>
      <c r="S132" s="195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</row>
    <row r="133" spans="17:45" s="54" customFormat="1" x14ac:dyDescent="0.25">
      <c r="Q133" s="195"/>
      <c r="R133" s="195"/>
      <c r="S133" s="195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</row>
    <row r="134" spans="17:45" s="54" customFormat="1" x14ac:dyDescent="0.25">
      <c r="Q134" s="195"/>
      <c r="R134" s="195"/>
      <c r="S134" s="195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</row>
    <row r="135" spans="17:45" s="54" customFormat="1" x14ac:dyDescent="0.25">
      <c r="Q135" s="195"/>
      <c r="R135" s="195"/>
      <c r="S135" s="195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</row>
    <row r="136" spans="17:45" s="54" customFormat="1" x14ac:dyDescent="0.25">
      <c r="Q136" s="195"/>
      <c r="R136" s="195"/>
      <c r="S136" s="195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</row>
    <row r="137" spans="17:45" s="54" customFormat="1" x14ac:dyDescent="0.25">
      <c r="Q137" s="195"/>
      <c r="R137" s="195"/>
      <c r="S137" s="195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</row>
    <row r="138" spans="17:45" s="54" customFormat="1" x14ac:dyDescent="0.25">
      <c r="Q138" s="195"/>
      <c r="R138" s="195"/>
      <c r="S138" s="195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</row>
    <row r="139" spans="17:45" s="54" customFormat="1" x14ac:dyDescent="0.25">
      <c r="Q139" s="195"/>
      <c r="R139" s="195"/>
      <c r="S139" s="195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</row>
    <row r="140" spans="17:45" s="54" customFormat="1" x14ac:dyDescent="0.25">
      <c r="Q140" s="195"/>
      <c r="R140" s="195"/>
      <c r="S140" s="195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</row>
    <row r="141" spans="17:45" s="54" customFormat="1" x14ac:dyDescent="0.25">
      <c r="Q141" s="195"/>
      <c r="R141" s="195"/>
      <c r="S141" s="195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</row>
    <row r="142" spans="17:45" s="54" customFormat="1" x14ac:dyDescent="0.25">
      <c r="Q142" s="195"/>
      <c r="R142" s="195"/>
      <c r="S142" s="195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</row>
    <row r="143" spans="17:45" s="54" customFormat="1" x14ac:dyDescent="0.25">
      <c r="Q143" s="195"/>
      <c r="R143" s="195"/>
      <c r="S143" s="195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</row>
    <row r="144" spans="17:45" s="54" customFormat="1" x14ac:dyDescent="0.25">
      <c r="Q144" s="195"/>
      <c r="R144" s="195"/>
      <c r="S144" s="195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</row>
    <row r="145" spans="17:45" s="54" customFormat="1" x14ac:dyDescent="0.25">
      <c r="Q145" s="195"/>
      <c r="R145" s="195"/>
      <c r="S145" s="195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</row>
    <row r="146" spans="17:45" s="54" customFormat="1" x14ac:dyDescent="0.25">
      <c r="Q146" s="195"/>
      <c r="R146" s="195"/>
      <c r="S146" s="195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</row>
    <row r="147" spans="17:45" s="54" customFormat="1" x14ac:dyDescent="0.25">
      <c r="Q147" s="195"/>
      <c r="R147" s="195"/>
      <c r="S147" s="195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</row>
    <row r="148" spans="17:45" s="54" customFormat="1" x14ac:dyDescent="0.25">
      <c r="Q148" s="195"/>
      <c r="R148" s="195"/>
      <c r="S148" s="195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</row>
    <row r="149" spans="17:45" s="54" customFormat="1" x14ac:dyDescent="0.25">
      <c r="Q149" s="195"/>
      <c r="R149" s="195"/>
      <c r="S149" s="195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</row>
    <row r="150" spans="17:45" s="54" customFormat="1" x14ac:dyDescent="0.25">
      <c r="Q150" s="195"/>
      <c r="R150" s="195"/>
      <c r="S150" s="195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</row>
    <row r="151" spans="17:45" s="54" customFormat="1" x14ac:dyDescent="0.25">
      <c r="Q151" s="195"/>
      <c r="R151" s="195"/>
      <c r="S151" s="195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</row>
    <row r="152" spans="17:45" s="54" customFormat="1" x14ac:dyDescent="0.25">
      <c r="Q152" s="195"/>
      <c r="R152" s="195"/>
      <c r="S152" s="195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</row>
    <row r="153" spans="17:45" s="54" customFormat="1" x14ac:dyDescent="0.25">
      <c r="Q153" s="195"/>
      <c r="R153" s="195"/>
      <c r="S153" s="195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</row>
    <row r="154" spans="17:45" s="54" customFormat="1" x14ac:dyDescent="0.25">
      <c r="Q154" s="195"/>
      <c r="R154" s="195"/>
      <c r="S154" s="195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</row>
    <row r="155" spans="17:45" s="54" customFormat="1" x14ac:dyDescent="0.25">
      <c r="Q155" s="195"/>
      <c r="R155" s="195"/>
      <c r="S155" s="195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</row>
    <row r="156" spans="17:45" s="54" customFormat="1" x14ac:dyDescent="0.25">
      <c r="Q156" s="195"/>
      <c r="R156" s="195"/>
      <c r="S156" s="195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</row>
    <row r="157" spans="17:45" s="54" customFormat="1" x14ac:dyDescent="0.25">
      <c r="Q157" s="195"/>
      <c r="R157" s="195"/>
      <c r="S157" s="195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</row>
    <row r="158" spans="17:45" s="54" customFormat="1" x14ac:dyDescent="0.25">
      <c r="Q158" s="195"/>
      <c r="R158" s="195"/>
      <c r="S158" s="195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</row>
    <row r="159" spans="17:45" s="54" customFormat="1" x14ac:dyDescent="0.25">
      <c r="Q159" s="195"/>
      <c r="R159" s="195"/>
      <c r="S159" s="195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</row>
    <row r="160" spans="17:45" s="54" customFormat="1" x14ac:dyDescent="0.25">
      <c r="Q160" s="195"/>
      <c r="R160" s="195"/>
      <c r="S160" s="195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</row>
    <row r="161" spans="17:45" s="54" customFormat="1" x14ac:dyDescent="0.25">
      <c r="Q161" s="195"/>
      <c r="R161" s="195"/>
      <c r="S161" s="195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</row>
    <row r="162" spans="17:45" s="54" customFormat="1" x14ac:dyDescent="0.25">
      <c r="Q162" s="195"/>
      <c r="R162" s="195"/>
      <c r="S162" s="195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</row>
    <row r="163" spans="17:45" s="54" customFormat="1" x14ac:dyDescent="0.25">
      <c r="Q163" s="195"/>
      <c r="R163" s="195"/>
      <c r="S163" s="195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</row>
    <row r="164" spans="17:45" s="54" customFormat="1" x14ac:dyDescent="0.25">
      <c r="Q164" s="195"/>
      <c r="R164" s="195"/>
      <c r="S164" s="195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</row>
    <row r="165" spans="17:45" s="54" customFormat="1" x14ac:dyDescent="0.25">
      <c r="Q165" s="195"/>
      <c r="R165" s="195"/>
      <c r="S165" s="195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</row>
    <row r="166" spans="17:45" s="54" customFormat="1" x14ac:dyDescent="0.25">
      <c r="Q166" s="195"/>
      <c r="R166" s="195"/>
      <c r="S166" s="195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</row>
    <row r="167" spans="17:45" s="54" customFormat="1" x14ac:dyDescent="0.25">
      <c r="Q167" s="195"/>
      <c r="R167" s="195"/>
      <c r="S167" s="195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</row>
    <row r="168" spans="17:45" s="54" customFormat="1" x14ac:dyDescent="0.25">
      <c r="Q168" s="195"/>
      <c r="R168" s="195"/>
      <c r="S168" s="195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</row>
    <row r="169" spans="17:45" s="54" customFormat="1" x14ac:dyDescent="0.25">
      <c r="Q169" s="195"/>
      <c r="R169" s="195"/>
      <c r="S169" s="195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</row>
    <row r="170" spans="17:45" s="54" customFormat="1" x14ac:dyDescent="0.25">
      <c r="Q170" s="195"/>
      <c r="R170" s="195"/>
      <c r="S170" s="195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</row>
    <row r="171" spans="17:45" s="54" customFormat="1" x14ac:dyDescent="0.25">
      <c r="Q171" s="195"/>
      <c r="R171" s="195"/>
      <c r="S171" s="195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</row>
    <row r="172" spans="17:45" s="54" customFormat="1" x14ac:dyDescent="0.25">
      <c r="Q172" s="195"/>
      <c r="R172" s="195"/>
      <c r="S172" s="195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</row>
    <row r="173" spans="17:45" s="54" customFormat="1" x14ac:dyDescent="0.25">
      <c r="Q173" s="195"/>
      <c r="R173" s="195"/>
      <c r="S173" s="195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</row>
    <row r="174" spans="17:45" s="54" customFormat="1" x14ac:dyDescent="0.25">
      <c r="Q174" s="195"/>
      <c r="R174" s="195"/>
      <c r="S174" s="195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</row>
    <row r="175" spans="17:45" s="54" customFormat="1" x14ac:dyDescent="0.25">
      <c r="Q175" s="195"/>
      <c r="R175" s="195"/>
      <c r="S175" s="195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</row>
    <row r="176" spans="17:45" s="54" customFormat="1" x14ac:dyDescent="0.25">
      <c r="Q176" s="195"/>
      <c r="R176" s="195"/>
      <c r="S176" s="195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</row>
    <row r="177" spans="17:45" s="54" customFormat="1" x14ac:dyDescent="0.25">
      <c r="Q177" s="195"/>
      <c r="R177" s="195"/>
      <c r="S177" s="195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</row>
    <row r="178" spans="17:45" s="54" customFormat="1" x14ac:dyDescent="0.25">
      <c r="Q178" s="195"/>
      <c r="R178" s="195"/>
      <c r="S178" s="195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</row>
    <row r="179" spans="17:45" s="54" customFormat="1" x14ac:dyDescent="0.25">
      <c r="Q179" s="195"/>
      <c r="R179" s="195"/>
      <c r="S179" s="195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</row>
    <row r="180" spans="17:45" s="54" customFormat="1" x14ac:dyDescent="0.25">
      <c r="Q180" s="195"/>
      <c r="R180" s="195"/>
      <c r="S180" s="195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</row>
    <row r="181" spans="17:45" s="54" customFormat="1" x14ac:dyDescent="0.25">
      <c r="Q181" s="195"/>
      <c r="R181" s="195"/>
      <c r="S181" s="195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</row>
    <row r="182" spans="17:45" s="54" customFormat="1" x14ac:dyDescent="0.25">
      <c r="Q182" s="195"/>
      <c r="R182" s="195"/>
      <c r="S182" s="195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</row>
    <row r="183" spans="17:45" s="54" customFormat="1" x14ac:dyDescent="0.25">
      <c r="Q183" s="195"/>
      <c r="R183" s="195"/>
      <c r="S183" s="195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</row>
    <row r="184" spans="17:45" s="54" customFormat="1" x14ac:dyDescent="0.25">
      <c r="Q184" s="195"/>
      <c r="R184" s="195"/>
      <c r="S184" s="195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</row>
    <row r="185" spans="17:45" s="54" customFormat="1" x14ac:dyDescent="0.25">
      <c r="Q185" s="195"/>
      <c r="R185" s="195"/>
      <c r="S185" s="195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</row>
    <row r="186" spans="17:45" s="54" customFormat="1" x14ac:dyDescent="0.25">
      <c r="Q186" s="195"/>
      <c r="R186" s="195"/>
      <c r="S186" s="195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</row>
    <row r="187" spans="17:45" s="54" customFormat="1" x14ac:dyDescent="0.25">
      <c r="Q187" s="195"/>
      <c r="R187" s="195"/>
      <c r="S187" s="195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</row>
    <row r="188" spans="17:45" s="54" customFormat="1" x14ac:dyDescent="0.25">
      <c r="Q188" s="195"/>
      <c r="R188" s="195"/>
      <c r="S188" s="195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</row>
    <row r="189" spans="17:45" s="54" customFormat="1" x14ac:dyDescent="0.25">
      <c r="Q189" s="195"/>
      <c r="R189" s="195"/>
      <c r="S189" s="195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</row>
    <row r="190" spans="17:45" s="54" customFormat="1" x14ac:dyDescent="0.25">
      <c r="Q190" s="195"/>
      <c r="R190" s="195"/>
      <c r="S190" s="195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</row>
    <row r="191" spans="17:45" s="54" customFormat="1" x14ac:dyDescent="0.25">
      <c r="Q191" s="195"/>
      <c r="R191" s="195"/>
      <c r="S191" s="195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</row>
    <row r="192" spans="17:45" s="54" customFormat="1" x14ac:dyDescent="0.25">
      <c r="Q192" s="195"/>
      <c r="R192" s="195"/>
      <c r="S192" s="195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</row>
    <row r="193" spans="17:45" s="54" customFormat="1" x14ac:dyDescent="0.25">
      <c r="Q193" s="195"/>
      <c r="R193" s="195"/>
      <c r="S193" s="195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</row>
    <row r="194" spans="17:45" s="54" customFormat="1" x14ac:dyDescent="0.25">
      <c r="Q194" s="195"/>
      <c r="R194" s="195"/>
      <c r="S194" s="195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</row>
    <row r="195" spans="17:45" s="54" customFormat="1" x14ac:dyDescent="0.25">
      <c r="Q195" s="195"/>
      <c r="R195" s="195"/>
      <c r="S195" s="195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</row>
    <row r="196" spans="17:45" s="54" customFormat="1" x14ac:dyDescent="0.25">
      <c r="Q196" s="195"/>
      <c r="R196" s="195"/>
      <c r="S196" s="195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</row>
    <row r="197" spans="17:45" s="54" customFormat="1" x14ac:dyDescent="0.25">
      <c r="Q197" s="195"/>
      <c r="R197" s="195"/>
      <c r="S197" s="195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</row>
    <row r="198" spans="17:45" s="54" customFormat="1" x14ac:dyDescent="0.25">
      <c r="Q198" s="195"/>
      <c r="R198" s="195"/>
      <c r="S198" s="195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</row>
    <row r="199" spans="17:45" s="54" customFormat="1" x14ac:dyDescent="0.25">
      <c r="Q199" s="195"/>
      <c r="R199" s="195"/>
      <c r="S199" s="195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</row>
    <row r="200" spans="17:45" s="54" customFormat="1" x14ac:dyDescent="0.25">
      <c r="Q200" s="195"/>
      <c r="R200" s="195"/>
      <c r="S200" s="195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</row>
    <row r="201" spans="17:45" s="54" customFormat="1" x14ac:dyDescent="0.25">
      <c r="Q201" s="195"/>
      <c r="R201" s="195"/>
      <c r="S201" s="195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</row>
    <row r="202" spans="17:45" s="54" customFormat="1" x14ac:dyDescent="0.25">
      <c r="Q202" s="195"/>
      <c r="R202" s="195"/>
      <c r="S202" s="195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</row>
    <row r="203" spans="17:45" s="54" customFormat="1" x14ac:dyDescent="0.25">
      <c r="Q203" s="195"/>
      <c r="R203" s="195"/>
      <c r="S203" s="195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</row>
    <row r="204" spans="17:45" s="54" customFormat="1" x14ac:dyDescent="0.25">
      <c r="Q204" s="195"/>
      <c r="R204" s="195"/>
      <c r="S204" s="195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</row>
    <row r="205" spans="17:45" s="54" customFormat="1" x14ac:dyDescent="0.25">
      <c r="Q205" s="195"/>
      <c r="R205" s="195"/>
      <c r="S205" s="195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</row>
    <row r="206" spans="17:45" s="54" customFormat="1" x14ac:dyDescent="0.25">
      <c r="Q206" s="195"/>
      <c r="R206" s="195"/>
      <c r="S206" s="195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</row>
    <row r="207" spans="17:45" s="54" customFormat="1" x14ac:dyDescent="0.25">
      <c r="Q207" s="195"/>
      <c r="R207" s="195"/>
      <c r="S207" s="195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</row>
    <row r="208" spans="17:45" s="54" customFormat="1" x14ac:dyDescent="0.25">
      <c r="Q208" s="195"/>
      <c r="R208" s="195"/>
      <c r="S208" s="195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</row>
    <row r="209" spans="17:45" s="54" customFormat="1" x14ac:dyDescent="0.25">
      <c r="Q209" s="195"/>
      <c r="R209" s="195"/>
      <c r="S209" s="195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</row>
    <row r="210" spans="17:45" s="54" customFormat="1" x14ac:dyDescent="0.25">
      <c r="Q210" s="195"/>
      <c r="R210" s="195"/>
      <c r="S210" s="195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</row>
    <row r="211" spans="17:45" s="54" customFormat="1" x14ac:dyDescent="0.25">
      <c r="Q211" s="195"/>
      <c r="R211" s="195"/>
      <c r="S211" s="195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</row>
    <row r="212" spans="17:45" s="54" customFormat="1" x14ac:dyDescent="0.25">
      <c r="Q212" s="195"/>
      <c r="R212" s="195"/>
      <c r="S212" s="195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</row>
    <row r="213" spans="17:45" s="54" customFormat="1" x14ac:dyDescent="0.25">
      <c r="Q213" s="195"/>
      <c r="R213" s="195"/>
      <c r="S213" s="195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</row>
    <row r="214" spans="17:45" s="54" customFormat="1" x14ac:dyDescent="0.25">
      <c r="Q214" s="195"/>
      <c r="R214" s="195"/>
      <c r="S214" s="195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</row>
    <row r="215" spans="17:45" s="54" customFormat="1" x14ac:dyDescent="0.25">
      <c r="Q215" s="195"/>
      <c r="R215" s="195"/>
      <c r="S215" s="195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</row>
    <row r="216" spans="17:45" s="54" customFormat="1" x14ac:dyDescent="0.25">
      <c r="Q216" s="195"/>
      <c r="R216" s="195"/>
      <c r="S216" s="195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</row>
    <row r="217" spans="17:45" s="54" customFormat="1" x14ac:dyDescent="0.25">
      <c r="Q217" s="195"/>
      <c r="R217" s="195"/>
      <c r="S217" s="195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</row>
    <row r="218" spans="17:45" s="54" customFormat="1" x14ac:dyDescent="0.25">
      <c r="Q218" s="195"/>
      <c r="R218" s="195"/>
      <c r="S218" s="195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</row>
    <row r="219" spans="17:45" s="54" customFormat="1" x14ac:dyDescent="0.25">
      <c r="Q219" s="195"/>
      <c r="R219" s="195"/>
      <c r="S219" s="195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</row>
    <row r="220" spans="17:45" s="54" customFormat="1" x14ac:dyDescent="0.25">
      <c r="Q220" s="195"/>
      <c r="R220" s="195"/>
      <c r="S220" s="195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</row>
    <row r="221" spans="17:45" s="54" customFormat="1" x14ac:dyDescent="0.25">
      <c r="Q221" s="195"/>
      <c r="R221" s="195"/>
      <c r="S221" s="195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</row>
    <row r="222" spans="17:45" s="54" customFormat="1" x14ac:dyDescent="0.25">
      <c r="Q222" s="195"/>
      <c r="R222" s="195"/>
      <c r="S222" s="195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</row>
    <row r="223" spans="17:45" s="54" customFormat="1" x14ac:dyDescent="0.25">
      <c r="Q223" s="195"/>
      <c r="R223" s="195"/>
      <c r="S223" s="195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</row>
    <row r="224" spans="17:45" s="54" customFormat="1" x14ac:dyDescent="0.25">
      <c r="Q224" s="195"/>
      <c r="R224" s="195"/>
      <c r="S224" s="195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</row>
    <row r="225" spans="17:45" s="54" customFormat="1" x14ac:dyDescent="0.25">
      <c r="Q225" s="195"/>
      <c r="R225" s="195"/>
      <c r="S225" s="195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</row>
    <row r="226" spans="17:45" s="54" customFormat="1" x14ac:dyDescent="0.25">
      <c r="Q226" s="195"/>
      <c r="R226" s="195"/>
      <c r="S226" s="195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</row>
    <row r="227" spans="17:45" s="54" customFormat="1" x14ac:dyDescent="0.25">
      <c r="Q227" s="195"/>
      <c r="R227" s="195"/>
      <c r="S227" s="195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</row>
    <row r="228" spans="17:45" s="54" customFormat="1" x14ac:dyDescent="0.25">
      <c r="Q228" s="195"/>
      <c r="R228" s="195"/>
      <c r="S228" s="195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</row>
    <row r="229" spans="17:45" s="54" customFormat="1" x14ac:dyDescent="0.25">
      <c r="Q229" s="195"/>
      <c r="R229" s="195"/>
      <c r="S229" s="195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</row>
    <row r="230" spans="17:45" s="54" customFormat="1" x14ac:dyDescent="0.25">
      <c r="Q230" s="195"/>
      <c r="R230" s="195"/>
      <c r="S230" s="195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</row>
    <row r="231" spans="17:45" s="54" customFormat="1" x14ac:dyDescent="0.25">
      <c r="Q231" s="195"/>
      <c r="R231" s="195"/>
      <c r="S231" s="195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</row>
    <row r="232" spans="17:45" s="54" customFormat="1" x14ac:dyDescent="0.25">
      <c r="Q232" s="195"/>
      <c r="R232" s="195"/>
      <c r="S232" s="195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</row>
    <row r="233" spans="17:45" s="54" customFormat="1" x14ac:dyDescent="0.25">
      <c r="Q233" s="195"/>
      <c r="R233" s="195"/>
      <c r="S233" s="195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</row>
    <row r="234" spans="17:45" s="54" customFormat="1" x14ac:dyDescent="0.25">
      <c r="Q234" s="195"/>
      <c r="R234" s="195"/>
      <c r="S234" s="195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</row>
    <row r="235" spans="17:45" s="54" customFormat="1" x14ac:dyDescent="0.25">
      <c r="Q235" s="195"/>
      <c r="R235" s="195"/>
      <c r="S235" s="195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</row>
    <row r="236" spans="17:45" s="54" customFormat="1" x14ac:dyDescent="0.25">
      <c r="Q236" s="195"/>
      <c r="R236" s="195"/>
      <c r="S236" s="195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</row>
    <row r="237" spans="17:45" s="54" customFormat="1" x14ac:dyDescent="0.25">
      <c r="Q237" s="195"/>
      <c r="R237" s="195"/>
      <c r="S237" s="195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</row>
    <row r="238" spans="17:45" s="54" customFormat="1" x14ac:dyDescent="0.25">
      <c r="Q238" s="195"/>
      <c r="R238" s="195"/>
      <c r="S238" s="195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</row>
    <row r="239" spans="17:45" s="54" customFormat="1" x14ac:dyDescent="0.25">
      <c r="Q239" s="195"/>
      <c r="R239" s="195"/>
      <c r="S239" s="195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</row>
    <row r="240" spans="17:45" s="54" customFormat="1" x14ac:dyDescent="0.25">
      <c r="Q240" s="195"/>
      <c r="R240" s="195"/>
      <c r="S240" s="195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</row>
    <row r="241" spans="17:45" s="54" customFormat="1" x14ac:dyDescent="0.25">
      <c r="Q241" s="195"/>
      <c r="R241" s="195"/>
      <c r="S241" s="195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</row>
    <row r="242" spans="17:45" s="54" customFormat="1" x14ac:dyDescent="0.25">
      <c r="Q242" s="195"/>
      <c r="R242" s="195"/>
      <c r="S242" s="195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</row>
    <row r="243" spans="17:45" s="54" customFormat="1" x14ac:dyDescent="0.25">
      <c r="Q243" s="195"/>
      <c r="R243" s="195"/>
      <c r="S243" s="195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</row>
    <row r="244" spans="17:45" s="54" customFormat="1" x14ac:dyDescent="0.25">
      <c r="Q244" s="195"/>
      <c r="R244" s="195"/>
      <c r="S244" s="195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</row>
    <row r="245" spans="17:45" s="54" customFormat="1" x14ac:dyDescent="0.25">
      <c r="Q245" s="195"/>
      <c r="R245" s="195"/>
      <c r="S245" s="195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</row>
    <row r="246" spans="17:45" s="54" customFormat="1" x14ac:dyDescent="0.25">
      <c r="Q246" s="195"/>
      <c r="R246" s="195"/>
      <c r="S246" s="195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</row>
    <row r="247" spans="17:45" s="54" customFormat="1" x14ac:dyDescent="0.25">
      <c r="Q247" s="195"/>
      <c r="R247" s="195"/>
      <c r="S247" s="195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</row>
    <row r="248" spans="17:45" s="54" customFormat="1" x14ac:dyDescent="0.25">
      <c r="Q248" s="195"/>
      <c r="R248" s="195"/>
      <c r="S248" s="195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</row>
    <row r="249" spans="17:45" s="54" customFormat="1" x14ac:dyDescent="0.25">
      <c r="Q249" s="195"/>
      <c r="R249" s="195"/>
      <c r="S249" s="195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</row>
    <row r="250" spans="17:45" s="54" customFormat="1" x14ac:dyDescent="0.25">
      <c r="Q250" s="195"/>
      <c r="R250" s="195"/>
      <c r="S250" s="195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</row>
    <row r="251" spans="17:45" s="54" customFormat="1" x14ac:dyDescent="0.25">
      <c r="Q251" s="195"/>
      <c r="R251" s="195"/>
      <c r="S251" s="195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</row>
    <row r="252" spans="17:45" s="54" customFormat="1" x14ac:dyDescent="0.25">
      <c r="Q252" s="195"/>
      <c r="R252" s="195"/>
      <c r="S252" s="195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</row>
    <row r="253" spans="17:45" s="54" customFormat="1" x14ac:dyDescent="0.25">
      <c r="Q253" s="195"/>
      <c r="R253" s="195"/>
      <c r="S253" s="195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</row>
    <row r="254" spans="17:45" s="54" customFormat="1" x14ac:dyDescent="0.25">
      <c r="Q254" s="195"/>
      <c r="R254" s="195"/>
      <c r="S254" s="195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</row>
    <row r="255" spans="17:45" s="54" customFormat="1" x14ac:dyDescent="0.25">
      <c r="Q255" s="195"/>
      <c r="R255" s="195"/>
      <c r="S255" s="195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</row>
    <row r="256" spans="17:45" s="54" customFormat="1" x14ac:dyDescent="0.25">
      <c r="Q256" s="195"/>
      <c r="R256" s="195"/>
      <c r="S256" s="195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</row>
    <row r="257" spans="17:45" s="54" customFormat="1" x14ac:dyDescent="0.25">
      <c r="Q257" s="195"/>
      <c r="R257" s="195"/>
      <c r="S257" s="195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</row>
    <row r="258" spans="17:45" s="54" customFormat="1" x14ac:dyDescent="0.25">
      <c r="Q258" s="195"/>
      <c r="R258" s="195"/>
      <c r="S258" s="195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</row>
    <row r="259" spans="17:45" s="54" customFormat="1" x14ac:dyDescent="0.25">
      <c r="Q259" s="195"/>
      <c r="R259" s="195"/>
      <c r="S259" s="195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</row>
    <row r="260" spans="17:45" s="54" customFormat="1" x14ac:dyDescent="0.25">
      <c r="Q260" s="195"/>
      <c r="R260" s="195"/>
      <c r="S260" s="195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</row>
    <row r="261" spans="17:45" s="54" customFormat="1" x14ac:dyDescent="0.25">
      <c r="Q261" s="195"/>
      <c r="R261" s="195"/>
      <c r="S261" s="195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</row>
    <row r="262" spans="17:45" s="54" customFormat="1" x14ac:dyDescent="0.25">
      <c r="Q262" s="195"/>
      <c r="R262" s="195"/>
      <c r="S262" s="195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</row>
    <row r="263" spans="17:45" s="54" customFormat="1" x14ac:dyDescent="0.25">
      <c r="Q263" s="195"/>
      <c r="R263" s="195"/>
      <c r="S263" s="195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</row>
    <row r="264" spans="17:45" s="54" customFormat="1" x14ac:dyDescent="0.25">
      <c r="Q264" s="195"/>
      <c r="R264" s="195"/>
      <c r="S264" s="195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</row>
    <row r="265" spans="17:45" s="54" customFormat="1" x14ac:dyDescent="0.25">
      <c r="Q265" s="195"/>
      <c r="R265" s="195"/>
      <c r="S265" s="195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</row>
    <row r="266" spans="17:45" s="54" customFormat="1" x14ac:dyDescent="0.25">
      <c r="Q266" s="195"/>
      <c r="R266" s="195"/>
      <c r="S266" s="195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</row>
    <row r="267" spans="17:45" s="54" customFormat="1" x14ac:dyDescent="0.25">
      <c r="Q267" s="195"/>
      <c r="R267" s="195"/>
      <c r="S267" s="195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</row>
    <row r="268" spans="17:45" s="54" customFormat="1" x14ac:dyDescent="0.25">
      <c r="Q268" s="195"/>
      <c r="R268" s="195"/>
      <c r="S268" s="195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</row>
    <row r="269" spans="17:45" s="54" customFormat="1" x14ac:dyDescent="0.25">
      <c r="Q269" s="195"/>
      <c r="R269" s="195"/>
      <c r="S269" s="195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</row>
    <row r="270" spans="17:45" s="54" customFormat="1" x14ac:dyDescent="0.25">
      <c r="Q270" s="195"/>
      <c r="R270" s="195"/>
      <c r="S270" s="195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</row>
    <row r="271" spans="17:45" s="54" customFormat="1" x14ac:dyDescent="0.25">
      <c r="Q271" s="195"/>
      <c r="R271" s="195"/>
      <c r="S271" s="195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</row>
    <row r="272" spans="17:45" s="54" customFormat="1" x14ac:dyDescent="0.25">
      <c r="Q272" s="195"/>
      <c r="R272" s="195"/>
      <c r="S272" s="195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</row>
    <row r="273" spans="17:45" s="54" customFormat="1" x14ac:dyDescent="0.25">
      <c r="Q273" s="195"/>
      <c r="R273" s="195"/>
      <c r="S273" s="195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</row>
    <row r="274" spans="17:45" s="54" customFormat="1" x14ac:dyDescent="0.25">
      <c r="Q274" s="195"/>
      <c r="R274" s="195"/>
      <c r="S274" s="195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</row>
    <row r="275" spans="17:45" s="54" customFormat="1" x14ac:dyDescent="0.25">
      <c r="Q275" s="195"/>
      <c r="R275" s="195"/>
      <c r="S275" s="195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</row>
    <row r="276" spans="17:45" s="54" customFormat="1" x14ac:dyDescent="0.25">
      <c r="Q276" s="195"/>
      <c r="R276" s="195"/>
      <c r="S276" s="195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</row>
    <row r="277" spans="17:45" s="54" customFormat="1" x14ac:dyDescent="0.25">
      <c r="Q277" s="195"/>
      <c r="R277" s="195"/>
      <c r="S277" s="195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</row>
    <row r="278" spans="17:45" s="54" customFormat="1" x14ac:dyDescent="0.25">
      <c r="Q278" s="195"/>
      <c r="R278" s="195"/>
      <c r="S278" s="195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</row>
    <row r="279" spans="17:45" s="54" customFormat="1" x14ac:dyDescent="0.25">
      <c r="Q279" s="195"/>
      <c r="R279" s="195"/>
      <c r="S279" s="195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</row>
    <row r="280" spans="17:45" s="54" customFormat="1" x14ac:dyDescent="0.25">
      <c r="Q280" s="195"/>
      <c r="R280" s="195"/>
      <c r="S280" s="195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</row>
    <row r="281" spans="17:45" s="54" customFormat="1" x14ac:dyDescent="0.25">
      <c r="Q281" s="195"/>
      <c r="R281" s="195"/>
      <c r="S281" s="195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</row>
    <row r="282" spans="17:45" s="54" customFormat="1" x14ac:dyDescent="0.25">
      <c r="Q282" s="195"/>
      <c r="R282" s="195"/>
      <c r="S282" s="195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</row>
    <row r="283" spans="17:45" s="54" customFormat="1" x14ac:dyDescent="0.25">
      <c r="Q283" s="195"/>
      <c r="R283" s="195"/>
      <c r="S283" s="195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</row>
    <row r="284" spans="17:45" s="54" customFormat="1" x14ac:dyDescent="0.25">
      <c r="Q284" s="195"/>
      <c r="R284" s="195"/>
      <c r="S284" s="195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</row>
    <row r="285" spans="17:45" s="54" customFormat="1" x14ac:dyDescent="0.25">
      <c r="Q285" s="195"/>
      <c r="R285" s="195"/>
      <c r="S285" s="195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</row>
    <row r="286" spans="17:45" s="54" customFormat="1" x14ac:dyDescent="0.25">
      <c r="Q286" s="195"/>
      <c r="R286" s="195"/>
      <c r="S286" s="195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</row>
    <row r="287" spans="17:45" s="54" customFormat="1" x14ac:dyDescent="0.25">
      <c r="Q287" s="195"/>
      <c r="R287" s="195"/>
      <c r="S287" s="195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</row>
    <row r="288" spans="17:45" s="54" customFormat="1" x14ac:dyDescent="0.25">
      <c r="Q288" s="195"/>
      <c r="R288" s="195"/>
      <c r="S288" s="195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</row>
    <row r="289" spans="17:45" s="54" customFormat="1" x14ac:dyDescent="0.25">
      <c r="Q289" s="195"/>
      <c r="R289" s="195"/>
      <c r="S289" s="195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</row>
    <row r="290" spans="17:45" s="54" customFormat="1" x14ac:dyDescent="0.25">
      <c r="Q290" s="195"/>
      <c r="R290" s="195"/>
      <c r="S290" s="195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</row>
    <row r="291" spans="17:45" s="54" customFormat="1" x14ac:dyDescent="0.25">
      <c r="Q291" s="195"/>
      <c r="R291" s="195"/>
      <c r="S291" s="195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</row>
    <row r="292" spans="17:45" s="54" customFormat="1" x14ac:dyDescent="0.25">
      <c r="Q292" s="195"/>
      <c r="R292" s="195"/>
      <c r="S292" s="195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</row>
    <row r="293" spans="17:45" s="54" customFormat="1" x14ac:dyDescent="0.25">
      <c r="Q293" s="195"/>
      <c r="R293" s="195"/>
      <c r="S293" s="195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</row>
    <row r="294" spans="17:45" s="54" customFormat="1" x14ac:dyDescent="0.25">
      <c r="Q294" s="195"/>
      <c r="R294" s="195"/>
      <c r="S294" s="195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</row>
    <row r="295" spans="17:45" s="54" customFormat="1" x14ac:dyDescent="0.25">
      <c r="Q295" s="195"/>
      <c r="R295" s="195"/>
      <c r="S295" s="195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</row>
    <row r="296" spans="17:45" s="54" customFormat="1" x14ac:dyDescent="0.25">
      <c r="Q296" s="195"/>
      <c r="R296" s="195"/>
      <c r="S296" s="195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</row>
    <row r="297" spans="17:45" s="54" customFormat="1" x14ac:dyDescent="0.25">
      <c r="Q297" s="195"/>
      <c r="R297" s="195"/>
      <c r="S297" s="195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</row>
    <row r="298" spans="17:45" s="54" customFormat="1" x14ac:dyDescent="0.25">
      <c r="Q298" s="195"/>
      <c r="R298" s="195"/>
      <c r="S298" s="195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</row>
    <row r="299" spans="17:45" s="54" customFormat="1" x14ac:dyDescent="0.25">
      <c r="Q299" s="195"/>
      <c r="R299" s="195"/>
      <c r="S299" s="195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</row>
    <row r="300" spans="17:45" s="54" customFormat="1" x14ac:dyDescent="0.25">
      <c r="Q300" s="195"/>
      <c r="R300" s="195"/>
      <c r="S300" s="195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</row>
    <row r="301" spans="17:45" s="54" customFormat="1" x14ac:dyDescent="0.25">
      <c r="Q301" s="195"/>
      <c r="R301" s="195"/>
      <c r="S301" s="195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</row>
    <row r="302" spans="17:45" s="54" customFormat="1" x14ac:dyDescent="0.25">
      <c r="Q302" s="195"/>
      <c r="R302" s="195"/>
      <c r="S302" s="195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</row>
    <row r="303" spans="17:45" s="54" customFormat="1" x14ac:dyDescent="0.25">
      <c r="Q303" s="195"/>
      <c r="R303" s="195"/>
      <c r="S303" s="195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</row>
    <row r="304" spans="17:45" s="54" customFormat="1" x14ac:dyDescent="0.25">
      <c r="Q304" s="195"/>
      <c r="R304" s="195"/>
      <c r="S304" s="195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</row>
    <row r="305" spans="17:45" s="54" customFormat="1" x14ac:dyDescent="0.25">
      <c r="Q305" s="195"/>
      <c r="R305" s="195"/>
      <c r="S305" s="195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</row>
    <row r="306" spans="17:45" s="54" customFormat="1" x14ac:dyDescent="0.25">
      <c r="Q306" s="195"/>
      <c r="R306" s="195"/>
      <c r="S306" s="195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</row>
    <row r="307" spans="17:45" s="54" customFormat="1" x14ac:dyDescent="0.25">
      <c r="Q307" s="195"/>
      <c r="R307" s="195"/>
      <c r="S307" s="195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</row>
    <row r="308" spans="17:45" s="54" customFormat="1" x14ac:dyDescent="0.25">
      <c r="Q308" s="195"/>
      <c r="R308" s="195"/>
      <c r="S308" s="195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</row>
    <row r="309" spans="17:45" s="54" customFormat="1" x14ac:dyDescent="0.25">
      <c r="Q309" s="195"/>
      <c r="R309" s="195"/>
      <c r="S309" s="195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</row>
    <row r="310" spans="17:45" s="54" customFormat="1" x14ac:dyDescent="0.25">
      <c r="Q310" s="195"/>
      <c r="R310" s="195"/>
      <c r="S310" s="195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</row>
    <row r="311" spans="17:45" s="54" customFormat="1" x14ac:dyDescent="0.25">
      <c r="Q311" s="195"/>
      <c r="R311" s="195"/>
      <c r="S311" s="195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</row>
    <row r="312" spans="17:45" s="54" customFormat="1" x14ac:dyDescent="0.25">
      <c r="Q312" s="195"/>
      <c r="R312" s="195"/>
      <c r="S312" s="195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</row>
    <row r="313" spans="17:45" s="54" customFormat="1" x14ac:dyDescent="0.25">
      <c r="Q313" s="195"/>
      <c r="R313" s="195"/>
      <c r="S313" s="195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</row>
    <row r="314" spans="17:45" s="54" customFormat="1" x14ac:dyDescent="0.25">
      <c r="Q314" s="195"/>
      <c r="R314" s="195"/>
      <c r="S314" s="195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</row>
    <row r="315" spans="17:45" s="54" customFormat="1" x14ac:dyDescent="0.25">
      <c r="Q315" s="195"/>
      <c r="R315" s="195"/>
      <c r="S315" s="195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</row>
    <row r="316" spans="17:45" s="54" customFormat="1" x14ac:dyDescent="0.25">
      <c r="Q316" s="195"/>
      <c r="R316" s="195"/>
      <c r="S316" s="195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</row>
    <row r="317" spans="17:45" s="54" customFormat="1" x14ac:dyDescent="0.25">
      <c r="Q317" s="195"/>
      <c r="R317" s="195"/>
      <c r="S317" s="195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</row>
    <row r="318" spans="17:45" s="54" customFormat="1" x14ac:dyDescent="0.25">
      <c r="Q318" s="195"/>
      <c r="R318" s="195"/>
      <c r="S318" s="195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</row>
    <row r="319" spans="17:45" s="54" customFormat="1" x14ac:dyDescent="0.25">
      <c r="Q319" s="195"/>
      <c r="R319" s="195"/>
      <c r="S319" s="195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</row>
    <row r="320" spans="17:45" s="54" customFormat="1" x14ac:dyDescent="0.25">
      <c r="Q320" s="195"/>
      <c r="R320" s="195"/>
      <c r="S320" s="195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</row>
    <row r="321" spans="17:45" s="54" customFormat="1" x14ac:dyDescent="0.25">
      <c r="Q321" s="195"/>
      <c r="R321" s="195"/>
      <c r="S321" s="195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</row>
    <row r="322" spans="17:45" s="54" customFormat="1" x14ac:dyDescent="0.25">
      <c r="Q322" s="195"/>
      <c r="R322" s="195"/>
      <c r="S322" s="195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</row>
    <row r="323" spans="17:45" s="54" customFormat="1" x14ac:dyDescent="0.25">
      <c r="Q323" s="195"/>
      <c r="R323" s="195"/>
      <c r="S323" s="195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</row>
    <row r="324" spans="17:45" s="54" customFormat="1" x14ac:dyDescent="0.25">
      <c r="Q324" s="195"/>
      <c r="R324" s="195"/>
      <c r="S324" s="195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</row>
    <row r="325" spans="17:45" s="54" customFormat="1" x14ac:dyDescent="0.25">
      <c r="Q325" s="195"/>
      <c r="R325" s="195"/>
      <c r="S325" s="195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</row>
    <row r="326" spans="17:45" s="54" customFormat="1" x14ac:dyDescent="0.25">
      <c r="Q326" s="195"/>
      <c r="R326" s="195"/>
      <c r="S326" s="195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</row>
    <row r="327" spans="17:45" s="54" customFormat="1" x14ac:dyDescent="0.25">
      <c r="Q327" s="195"/>
      <c r="R327" s="195"/>
      <c r="S327" s="195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</row>
    <row r="328" spans="17:45" s="54" customFormat="1" x14ac:dyDescent="0.25">
      <c r="Q328" s="195"/>
      <c r="R328" s="195"/>
      <c r="S328" s="195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</row>
    <row r="329" spans="17:45" s="54" customFormat="1" x14ac:dyDescent="0.25">
      <c r="Q329" s="195"/>
      <c r="R329" s="195"/>
      <c r="S329" s="195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</row>
    <row r="330" spans="17:45" s="54" customFormat="1" x14ac:dyDescent="0.25">
      <c r="Q330" s="195"/>
      <c r="R330" s="195"/>
      <c r="S330" s="195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</row>
    <row r="331" spans="17:45" s="54" customFormat="1" x14ac:dyDescent="0.25">
      <c r="Q331" s="195"/>
      <c r="R331" s="195"/>
      <c r="S331" s="195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</row>
    <row r="332" spans="17:45" s="54" customFormat="1" x14ac:dyDescent="0.25">
      <c r="Q332" s="195"/>
      <c r="R332" s="195"/>
      <c r="S332" s="195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</row>
    <row r="333" spans="17:45" s="54" customFormat="1" x14ac:dyDescent="0.25">
      <c r="Q333" s="195"/>
      <c r="R333" s="195"/>
      <c r="S333" s="195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</row>
    <row r="334" spans="17:45" s="54" customFormat="1" x14ac:dyDescent="0.25">
      <c r="Q334" s="195"/>
      <c r="R334" s="195"/>
      <c r="S334" s="195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</row>
    <row r="335" spans="17:45" s="54" customFormat="1" x14ac:dyDescent="0.25">
      <c r="Q335" s="195"/>
      <c r="R335" s="195"/>
      <c r="S335" s="195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</row>
    <row r="336" spans="17:45" s="54" customFormat="1" x14ac:dyDescent="0.25">
      <c r="Q336" s="195"/>
      <c r="R336" s="195"/>
      <c r="S336" s="195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</row>
    <row r="337" spans="17:45" s="54" customFormat="1" x14ac:dyDescent="0.25">
      <c r="Q337" s="195"/>
      <c r="R337" s="195"/>
      <c r="S337" s="195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</row>
    <row r="338" spans="17:45" s="54" customFormat="1" x14ac:dyDescent="0.25">
      <c r="Q338" s="195"/>
      <c r="R338" s="195"/>
      <c r="S338" s="195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</row>
    <row r="339" spans="17:45" s="54" customFormat="1" x14ac:dyDescent="0.25">
      <c r="Q339" s="195"/>
      <c r="R339" s="195"/>
      <c r="S339" s="195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</row>
    <row r="340" spans="17:45" s="54" customFormat="1" x14ac:dyDescent="0.25">
      <c r="Q340" s="195"/>
      <c r="R340" s="195"/>
      <c r="S340" s="195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</row>
    <row r="341" spans="17:45" s="54" customFormat="1" x14ac:dyDescent="0.25">
      <c r="Q341" s="195"/>
      <c r="R341" s="195"/>
      <c r="S341" s="195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</row>
    <row r="342" spans="17:45" s="54" customFormat="1" x14ac:dyDescent="0.25">
      <c r="Q342" s="195"/>
      <c r="R342" s="195"/>
      <c r="S342" s="195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</row>
    <row r="343" spans="17:45" s="54" customFormat="1" x14ac:dyDescent="0.25">
      <c r="Q343" s="195"/>
      <c r="R343" s="195"/>
      <c r="S343" s="195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</row>
    <row r="344" spans="17:45" s="54" customFormat="1" x14ac:dyDescent="0.25">
      <c r="Q344" s="195"/>
      <c r="R344" s="195"/>
      <c r="S344" s="195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</row>
    <row r="345" spans="17:45" s="54" customFormat="1" x14ac:dyDescent="0.25">
      <c r="Q345" s="195"/>
      <c r="R345" s="195"/>
      <c r="S345" s="195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</row>
    <row r="346" spans="17:45" s="54" customFormat="1" x14ac:dyDescent="0.25">
      <c r="Q346" s="195"/>
      <c r="R346" s="195"/>
      <c r="S346" s="195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</row>
    <row r="347" spans="17:45" s="54" customFormat="1" x14ac:dyDescent="0.25">
      <c r="Q347" s="195"/>
      <c r="R347" s="195"/>
      <c r="S347" s="195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</row>
    <row r="348" spans="17:45" s="54" customFormat="1" x14ac:dyDescent="0.25">
      <c r="Q348" s="195"/>
      <c r="R348" s="195"/>
      <c r="S348" s="195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</row>
    <row r="349" spans="17:45" s="54" customFormat="1" x14ac:dyDescent="0.25">
      <c r="Q349" s="195"/>
      <c r="R349" s="195"/>
      <c r="S349" s="195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</row>
    <row r="350" spans="17:45" s="54" customFormat="1" x14ac:dyDescent="0.25">
      <c r="Q350" s="195"/>
      <c r="R350" s="195"/>
      <c r="S350" s="195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</row>
    <row r="351" spans="17:45" s="54" customFormat="1" x14ac:dyDescent="0.25">
      <c r="Q351" s="195"/>
      <c r="R351" s="195"/>
      <c r="S351" s="195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</row>
    <row r="352" spans="17:45" s="54" customFormat="1" x14ac:dyDescent="0.25">
      <c r="Q352" s="195"/>
      <c r="R352" s="195"/>
      <c r="S352" s="195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</row>
    <row r="353" spans="17:45" s="54" customFormat="1" x14ac:dyDescent="0.25">
      <c r="Q353" s="195"/>
      <c r="R353" s="195"/>
      <c r="S353" s="195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</row>
    <row r="354" spans="17:45" s="54" customFormat="1" x14ac:dyDescent="0.25">
      <c r="Q354" s="195"/>
      <c r="R354" s="195"/>
      <c r="S354" s="195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</row>
    <row r="355" spans="17:45" s="54" customFormat="1" x14ac:dyDescent="0.25">
      <c r="Q355" s="195"/>
      <c r="R355" s="195"/>
      <c r="S355" s="195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</row>
    <row r="356" spans="17:45" s="54" customFormat="1" x14ac:dyDescent="0.25">
      <c r="Q356" s="195"/>
      <c r="R356" s="195"/>
      <c r="S356" s="195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</row>
    <row r="357" spans="17:45" s="54" customFormat="1" x14ac:dyDescent="0.25">
      <c r="Q357" s="195"/>
      <c r="R357" s="195"/>
      <c r="S357" s="195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</row>
    <row r="358" spans="17:45" s="54" customFormat="1" x14ac:dyDescent="0.25">
      <c r="Q358" s="195"/>
      <c r="R358" s="195"/>
      <c r="S358" s="195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</row>
    <row r="359" spans="17:45" s="54" customFormat="1" x14ac:dyDescent="0.25">
      <c r="Q359" s="195"/>
      <c r="R359" s="195"/>
      <c r="S359" s="195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</row>
    <row r="360" spans="17:45" s="54" customFormat="1" x14ac:dyDescent="0.25">
      <c r="Q360" s="195"/>
      <c r="R360" s="195"/>
      <c r="S360" s="195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</row>
    <row r="361" spans="17:45" s="54" customFormat="1" x14ac:dyDescent="0.25">
      <c r="Q361" s="195"/>
      <c r="R361" s="195"/>
      <c r="S361" s="195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</row>
    <row r="362" spans="17:45" s="54" customFormat="1" x14ac:dyDescent="0.25">
      <c r="Q362" s="195"/>
      <c r="R362" s="195"/>
      <c r="S362" s="195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</row>
    <row r="363" spans="17:45" s="54" customFormat="1" x14ac:dyDescent="0.25">
      <c r="Q363" s="195"/>
      <c r="R363" s="195"/>
      <c r="S363" s="195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</row>
    <row r="364" spans="17:45" s="54" customFormat="1" x14ac:dyDescent="0.25">
      <c r="Q364" s="195"/>
      <c r="R364" s="195"/>
      <c r="S364" s="195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</row>
    <row r="365" spans="17:45" s="54" customFormat="1" x14ac:dyDescent="0.25">
      <c r="Q365" s="195"/>
      <c r="R365" s="195"/>
      <c r="S365" s="195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</row>
    <row r="366" spans="17:45" s="54" customFormat="1" x14ac:dyDescent="0.25">
      <c r="Q366" s="195"/>
      <c r="R366" s="195"/>
      <c r="S366" s="195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</row>
    <row r="367" spans="17:45" s="54" customFormat="1" x14ac:dyDescent="0.25">
      <c r="Q367" s="195"/>
      <c r="R367" s="195"/>
      <c r="S367" s="195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</row>
    <row r="368" spans="17:45" s="54" customFormat="1" x14ac:dyDescent="0.25">
      <c r="Q368" s="195"/>
      <c r="R368" s="195"/>
      <c r="S368" s="195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</row>
    <row r="369" spans="17:45" s="54" customFormat="1" x14ac:dyDescent="0.25">
      <c r="Q369" s="195"/>
      <c r="R369" s="195"/>
      <c r="S369" s="195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</row>
    <row r="370" spans="17:45" s="54" customFormat="1" x14ac:dyDescent="0.25">
      <c r="Q370" s="195"/>
      <c r="R370" s="195"/>
      <c r="S370" s="195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</row>
    <row r="371" spans="17:45" s="54" customFormat="1" x14ac:dyDescent="0.25">
      <c r="Q371" s="195"/>
      <c r="R371" s="195"/>
      <c r="S371" s="195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</row>
    <row r="372" spans="17:45" s="54" customFormat="1" x14ac:dyDescent="0.25">
      <c r="Q372" s="195"/>
      <c r="R372" s="195"/>
      <c r="S372" s="195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</row>
    <row r="373" spans="17:45" s="54" customFormat="1" x14ac:dyDescent="0.25">
      <c r="Q373" s="195"/>
      <c r="R373" s="195"/>
      <c r="S373" s="195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</row>
    <row r="374" spans="17:45" s="54" customFormat="1" x14ac:dyDescent="0.25">
      <c r="Q374" s="195"/>
      <c r="R374" s="195"/>
      <c r="S374" s="195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</row>
    <row r="375" spans="17:45" s="54" customFormat="1" x14ac:dyDescent="0.25">
      <c r="Q375" s="195"/>
      <c r="R375" s="195"/>
      <c r="S375" s="195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</row>
    <row r="376" spans="17:45" s="54" customFormat="1" x14ac:dyDescent="0.25">
      <c r="Q376" s="195"/>
      <c r="R376" s="195"/>
      <c r="S376" s="195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</row>
    <row r="377" spans="17:45" s="54" customFormat="1" x14ac:dyDescent="0.25">
      <c r="Q377" s="195"/>
      <c r="R377" s="195"/>
      <c r="S377" s="195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</row>
    <row r="378" spans="17:45" s="54" customFormat="1" x14ac:dyDescent="0.25">
      <c r="Q378" s="195"/>
      <c r="R378" s="195"/>
      <c r="S378" s="195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</row>
    <row r="379" spans="17:45" s="54" customFormat="1" x14ac:dyDescent="0.25">
      <c r="Q379" s="195"/>
      <c r="R379" s="195"/>
      <c r="S379" s="195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</row>
    <row r="380" spans="17:45" s="54" customFormat="1" x14ac:dyDescent="0.25">
      <c r="Q380" s="195"/>
      <c r="R380" s="195"/>
      <c r="S380" s="195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</row>
    <row r="381" spans="17:45" s="54" customFormat="1" x14ac:dyDescent="0.25">
      <c r="Q381" s="195"/>
      <c r="R381" s="195"/>
      <c r="S381" s="195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</row>
    <row r="382" spans="17:45" s="54" customFormat="1" x14ac:dyDescent="0.25">
      <c r="Q382" s="195"/>
      <c r="R382" s="195"/>
      <c r="S382" s="195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</row>
    <row r="383" spans="17:45" s="54" customFormat="1" x14ac:dyDescent="0.25">
      <c r="Q383" s="195"/>
      <c r="R383" s="195"/>
      <c r="S383" s="195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</row>
    <row r="384" spans="17:45" s="54" customFormat="1" x14ac:dyDescent="0.25">
      <c r="Q384" s="195"/>
      <c r="R384" s="195"/>
      <c r="S384" s="195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</row>
    <row r="385" spans="17:45" s="54" customFormat="1" x14ac:dyDescent="0.25">
      <c r="Q385" s="195"/>
      <c r="R385" s="195"/>
      <c r="S385" s="195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</row>
    <row r="386" spans="17:45" s="54" customFormat="1" x14ac:dyDescent="0.25">
      <c r="Q386" s="195"/>
      <c r="R386" s="195"/>
      <c r="S386" s="195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</row>
    <row r="387" spans="17:45" s="54" customFormat="1" x14ac:dyDescent="0.25">
      <c r="Q387" s="195"/>
      <c r="R387" s="195"/>
      <c r="S387" s="195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</row>
    <row r="388" spans="17:45" s="54" customFormat="1" x14ac:dyDescent="0.25">
      <c r="Q388" s="195"/>
      <c r="R388" s="195"/>
      <c r="S388" s="195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</row>
    <row r="389" spans="17:45" s="54" customFormat="1" x14ac:dyDescent="0.25">
      <c r="Q389" s="195"/>
      <c r="R389" s="195"/>
      <c r="S389" s="195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</row>
    <row r="390" spans="17:45" s="54" customFormat="1" x14ac:dyDescent="0.25">
      <c r="Q390" s="195"/>
      <c r="R390" s="195"/>
      <c r="S390" s="195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</row>
    <row r="391" spans="17:45" s="54" customFormat="1" x14ac:dyDescent="0.25">
      <c r="Q391" s="195"/>
      <c r="R391" s="195"/>
      <c r="S391" s="195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</row>
    <row r="392" spans="17:45" s="54" customFormat="1" x14ac:dyDescent="0.25">
      <c r="Q392" s="195"/>
      <c r="R392" s="195"/>
      <c r="S392" s="195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</row>
    <row r="393" spans="17:45" s="54" customFormat="1" x14ac:dyDescent="0.25">
      <c r="Q393" s="195"/>
      <c r="R393" s="195"/>
      <c r="S393" s="195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</row>
    <row r="394" spans="17:45" s="54" customFormat="1" x14ac:dyDescent="0.25">
      <c r="Q394" s="195"/>
      <c r="R394" s="195"/>
      <c r="S394" s="195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</row>
    <row r="395" spans="17:45" s="54" customFormat="1" x14ac:dyDescent="0.25">
      <c r="Q395" s="195"/>
      <c r="R395" s="195"/>
      <c r="S395" s="195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</row>
    <row r="396" spans="17:45" s="54" customFormat="1" x14ac:dyDescent="0.25">
      <c r="Q396" s="195"/>
      <c r="R396" s="195"/>
      <c r="S396" s="195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</row>
    <row r="397" spans="17:45" s="54" customFormat="1" x14ac:dyDescent="0.25">
      <c r="Q397" s="195"/>
      <c r="R397" s="195"/>
      <c r="S397" s="195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</row>
    <row r="398" spans="17:45" s="54" customFormat="1" x14ac:dyDescent="0.25">
      <c r="Q398" s="195"/>
      <c r="R398" s="195"/>
      <c r="S398" s="195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</row>
    <row r="399" spans="17:45" s="54" customFormat="1" x14ac:dyDescent="0.25">
      <c r="Q399" s="195"/>
      <c r="R399" s="195"/>
      <c r="S399" s="195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</row>
    <row r="400" spans="17:45" s="54" customFormat="1" x14ac:dyDescent="0.25">
      <c r="Q400" s="195"/>
      <c r="R400" s="195"/>
      <c r="S400" s="195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</row>
    <row r="401" spans="17:45" s="54" customFormat="1" x14ac:dyDescent="0.25">
      <c r="Q401" s="195"/>
      <c r="R401" s="195"/>
      <c r="S401" s="195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</row>
    <row r="402" spans="17:45" s="54" customFormat="1" x14ac:dyDescent="0.25">
      <c r="Q402" s="195"/>
      <c r="R402" s="195"/>
      <c r="S402" s="195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</row>
    <row r="403" spans="17:45" s="54" customFormat="1" x14ac:dyDescent="0.25">
      <c r="Q403" s="195"/>
      <c r="R403" s="195"/>
      <c r="S403" s="195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</row>
    <row r="404" spans="17:45" s="54" customFormat="1" x14ac:dyDescent="0.25">
      <c r="Q404" s="195"/>
      <c r="R404" s="195"/>
      <c r="S404" s="195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</row>
    <row r="405" spans="17:45" s="54" customFormat="1" x14ac:dyDescent="0.25">
      <c r="Q405" s="195"/>
      <c r="R405" s="195"/>
      <c r="S405" s="195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</row>
    <row r="406" spans="17:45" s="54" customFormat="1" x14ac:dyDescent="0.25">
      <c r="Q406" s="195"/>
      <c r="R406" s="195"/>
      <c r="S406" s="195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</row>
    <row r="407" spans="17:45" s="54" customFormat="1" x14ac:dyDescent="0.25">
      <c r="Q407" s="195"/>
      <c r="R407" s="195"/>
      <c r="S407" s="195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</row>
    <row r="408" spans="17:45" s="54" customFormat="1" x14ac:dyDescent="0.25">
      <c r="Q408" s="195"/>
      <c r="R408" s="195"/>
      <c r="S408" s="195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</row>
    <row r="409" spans="17:45" s="54" customFormat="1" x14ac:dyDescent="0.25">
      <c r="Q409" s="195"/>
      <c r="R409" s="195"/>
      <c r="S409" s="195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</row>
    <row r="410" spans="17:45" s="54" customFormat="1" x14ac:dyDescent="0.25">
      <c r="Q410" s="195"/>
      <c r="R410" s="195"/>
      <c r="S410" s="195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</row>
    <row r="411" spans="17:45" s="54" customFormat="1" x14ac:dyDescent="0.25">
      <c r="Q411" s="195"/>
      <c r="R411" s="195"/>
      <c r="S411" s="195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</row>
    <row r="412" spans="17:45" s="54" customFormat="1" x14ac:dyDescent="0.25">
      <c r="Q412" s="195"/>
      <c r="R412" s="195"/>
      <c r="S412" s="195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</row>
    <row r="413" spans="17:45" s="54" customFormat="1" x14ac:dyDescent="0.25">
      <c r="Q413" s="195"/>
      <c r="R413" s="195"/>
      <c r="S413" s="195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</row>
    <row r="414" spans="17:45" s="54" customFormat="1" x14ac:dyDescent="0.25">
      <c r="Q414" s="195"/>
      <c r="R414" s="195"/>
      <c r="S414" s="195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</row>
    <row r="415" spans="17:45" s="54" customFormat="1" x14ac:dyDescent="0.25">
      <c r="Q415" s="195"/>
      <c r="R415" s="195"/>
      <c r="S415" s="195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</row>
    <row r="416" spans="17:45" s="54" customFormat="1" x14ac:dyDescent="0.25">
      <c r="Q416" s="195"/>
      <c r="R416" s="195"/>
      <c r="S416" s="195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</row>
    <row r="417" spans="17:45" s="54" customFormat="1" x14ac:dyDescent="0.25">
      <c r="Q417" s="195"/>
      <c r="R417" s="195"/>
      <c r="S417" s="195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</row>
    <row r="418" spans="17:45" s="54" customFormat="1" x14ac:dyDescent="0.25">
      <c r="Q418" s="195"/>
      <c r="R418" s="195"/>
      <c r="S418" s="195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</row>
    <row r="419" spans="17:45" s="54" customFormat="1" x14ac:dyDescent="0.25">
      <c r="Q419" s="195"/>
      <c r="R419" s="195"/>
      <c r="S419" s="195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</row>
    <row r="420" spans="17:45" s="54" customFormat="1" x14ac:dyDescent="0.25">
      <c r="Q420" s="195"/>
      <c r="R420" s="195"/>
      <c r="S420" s="195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</row>
    <row r="421" spans="17:45" s="54" customFormat="1" x14ac:dyDescent="0.25">
      <c r="Q421" s="195"/>
      <c r="R421" s="195"/>
      <c r="S421" s="195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</row>
    <row r="422" spans="17:45" s="54" customFormat="1" x14ac:dyDescent="0.25">
      <c r="Q422" s="195"/>
      <c r="R422" s="195"/>
      <c r="S422" s="195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</row>
    <row r="423" spans="17:45" s="54" customFormat="1" x14ac:dyDescent="0.25">
      <c r="Q423" s="195"/>
      <c r="R423" s="195"/>
      <c r="S423" s="195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</row>
    <row r="424" spans="17:45" s="54" customFormat="1" x14ac:dyDescent="0.25">
      <c r="Q424" s="195"/>
      <c r="R424" s="195"/>
      <c r="S424" s="195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</row>
    <row r="425" spans="17:45" s="54" customFormat="1" x14ac:dyDescent="0.25">
      <c r="Q425" s="195"/>
      <c r="R425" s="195"/>
      <c r="S425" s="195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</row>
    <row r="426" spans="17:45" s="54" customFormat="1" x14ac:dyDescent="0.25">
      <c r="Q426" s="195"/>
      <c r="R426" s="195"/>
      <c r="S426" s="195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</row>
    <row r="427" spans="17:45" s="54" customFormat="1" x14ac:dyDescent="0.25">
      <c r="Q427" s="195"/>
      <c r="R427" s="195"/>
      <c r="S427" s="195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</row>
    <row r="428" spans="17:45" s="54" customFormat="1" x14ac:dyDescent="0.25">
      <c r="Q428" s="195"/>
      <c r="R428" s="195"/>
      <c r="S428" s="195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</row>
    <row r="429" spans="17:45" s="54" customFormat="1" x14ac:dyDescent="0.25">
      <c r="Q429" s="195"/>
      <c r="R429" s="195"/>
      <c r="S429" s="195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</row>
    <row r="430" spans="17:45" s="54" customFormat="1" x14ac:dyDescent="0.25">
      <c r="Q430" s="195"/>
      <c r="R430" s="195"/>
      <c r="S430" s="195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</row>
    <row r="431" spans="17:45" s="54" customFormat="1" x14ac:dyDescent="0.25">
      <c r="Q431" s="195"/>
      <c r="R431" s="195"/>
      <c r="S431" s="195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</row>
    <row r="432" spans="17:45" s="54" customFormat="1" x14ac:dyDescent="0.25">
      <c r="Q432" s="195"/>
      <c r="R432" s="195"/>
      <c r="S432" s="195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</row>
    <row r="433" spans="17:45" s="54" customFormat="1" x14ac:dyDescent="0.25">
      <c r="Q433" s="195"/>
      <c r="R433" s="195"/>
      <c r="S433" s="195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</row>
    <row r="434" spans="17:45" s="54" customFormat="1" x14ac:dyDescent="0.25">
      <c r="Q434" s="195"/>
      <c r="R434" s="195"/>
      <c r="S434" s="195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</row>
    <row r="435" spans="17:45" s="54" customFormat="1" x14ac:dyDescent="0.25">
      <c r="Q435" s="195"/>
      <c r="R435" s="195"/>
      <c r="S435" s="195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</row>
    <row r="436" spans="17:45" s="54" customFormat="1" x14ac:dyDescent="0.25">
      <c r="Q436" s="195"/>
      <c r="R436" s="195"/>
      <c r="S436" s="195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</row>
    <row r="437" spans="17:45" s="54" customFormat="1" x14ac:dyDescent="0.25">
      <c r="Q437" s="195"/>
      <c r="R437" s="195"/>
      <c r="S437" s="195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</row>
    <row r="438" spans="17:45" s="54" customFormat="1" x14ac:dyDescent="0.25">
      <c r="Q438" s="195"/>
      <c r="R438" s="195"/>
      <c r="S438" s="195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</row>
    <row r="439" spans="17:45" s="54" customFormat="1" x14ac:dyDescent="0.25">
      <c r="Q439" s="195"/>
      <c r="R439" s="195"/>
      <c r="S439" s="195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</row>
    <row r="440" spans="17:45" s="54" customFormat="1" x14ac:dyDescent="0.25">
      <c r="Q440" s="195"/>
      <c r="R440" s="195"/>
      <c r="S440" s="195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</row>
    <row r="441" spans="17:45" s="54" customFormat="1" x14ac:dyDescent="0.25">
      <c r="Q441" s="195"/>
      <c r="R441" s="195"/>
      <c r="S441" s="195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</row>
    <row r="442" spans="17:45" s="54" customFormat="1" x14ac:dyDescent="0.25">
      <c r="Q442" s="195"/>
      <c r="R442" s="195"/>
      <c r="S442" s="195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</row>
    <row r="443" spans="17:45" s="54" customFormat="1" x14ac:dyDescent="0.25">
      <c r="Q443" s="195"/>
      <c r="R443" s="195"/>
      <c r="S443" s="195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</row>
    <row r="444" spans="17:45" s="54" customFormat="1" x14ac:dyDescent="0.25">
      <c r="Q444" s="195"/>
      <c r="R444" s="195"/>
      <c r="S444" s="195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</row>
    <row r="445" spans="17:45" s="54" customFormat="1" x14ac:dyDescent="0.25">
      <c r="Q445" s="195"/>
      <c r="R445" s="195"/>
      <c r="S445" s="195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</row>
    <row r="446" spans="17:45" s="54" customFormat="1" x14ac:dyDescent="0.25">
      <c r="Q446" s="195"/>
      <c r="R446" s="195"/>
      <c r="S446" s="195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</row>
    <row r="447" spans="17:45" s="54" customFormat="1" x14ac:dyDescent="0.25">
      <c r="Q447" s="195"/>
      <c r="R447" s="195"/>
      <c r="S447" s="195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</row>
    <row r="448" spans="17:45" s="54" customFormat="1" x14ac:dyDescent="0.25">
      <c r="Q448" s="195"/>
      <c r="R448" s="195"/>
      <c r="S448" s="195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</row>
    <row r="449" spans="17:45" s="54" customFormat="1" x14ac:dyDescent="0.25">
      <c r="Q449" s="195"/>
      <c r="R449" s="195"/>
      <c r="S449" s="195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</row>
    <row r="450" spans="17:45" s="54" customFormat="1" x14ac:dyDescent="0.25">
      <c r="Q450" s="195"/>
      <c r="R450" s="195"/>
      <c r="S450" s="195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</row>
    <row r="451" spans="17:45" s="54" customFormat="1" x14ac:dyDescent="0.25">
      <c r="Q451" s="195"/>
      <c r="R451" s="195"/>
      <c r="S451" s="195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</row>
    <row r="452" spans="17:45" s="54" customFormat="1" x14ac:dyDescent="0.25">
      <c r="Q452" s="195"/>
      <c r="R452" s="195"/>
      <c r="S452" s="195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</row>
    <row r="453" spans="17:45" s="54" customFormat="1" x14ac:dyDescent="0.25">
      <c r="Q453" s="195"/>
      <c r="R453" s="195"/>
      <c r="S453" s="195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</row>
    <row r="454" spans="17:45" s="54" customFormat="1" x14ac:dyDescent="0.25">
      <c r="Q454" s="195"/>
      <c r="R454" s="195"/>
      <c r="S454" s="195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</row>
    <row r="455" spans="17:45" s="54" customFormat="1" x14ac:dyDescent="0.25">
      <c r="Q455" s="195"/>
      <c r="R455" s="195"/>
      <c r="S455" s="195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</row>
    <row r="456" spans="17:45" s="54" customFormat="1" x14ac:dyDescent="0.25">
      <c r="Q456" s="195"/>
      <c r="R456" s="195"/>
      <c r="S456" s="195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</row>
    <row r="457" spans="17:45" s="54" customFormat="1" x14ac:dyDescent="0.25">
      <c r="Q457" s="195"/>
      <c r="R457" s="195"/>
      <c r="S457" s="195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</row>
    <row r="458" spans="17:45" s="54" customFormat="1" x14ac:dyDescent="0.25">
      <c r="Q458" s="195"/>
      <c r="R458" s="195"/>
      <c r="S458" s="195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  <c r="AQ458" s="90"/>
      <c r="AR458" s="90"/>
      <c r="AS458" s="90"/>
    </row>
    <row r="459" spans="17:45" s="54" customFormat="1" x14ac:dyDescent="0.25">
      <c r="Q459" s="195"/>
      <c r="R459" s="195"/>
      <c r="S459" s="195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</row>
    <row r="460" spans="17:45" s="54" customFormat="1" x14ac:dyDescent="0.25">
      <c r="Q460" s="195"/>
      <c r="R460" s="195"/>
      <c r="S460" s="195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  <c r="AQ460" s="90"/>
      <c r="AR460" s="90"/>
      <c r="AS460" s="90"/>
    </row>
    <row r="461" spans="17:45" s="54" customFormat="1" x14ac:dyDescent="0.25">
      <c r="Q461" s="195"/>
      <c r="R461" s="195"/>
      <c r="S461" s="195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</row>
    <row r="462" spans="17:45" s="54" customFormat="1" x14ac:dyDescent="0.25">
      <c r="Q462" s="195"/>
      <c r="R462" s="195"/>
      <c r="S462" s="195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  <c r="AQ462" s="90"/>
      <c r="AR462" s="90"/>
      <c r="AS462" s="90"/>
    </row>
    <row r="463" spans="17:45" s="54" customFormat="1" x14ac:dyDescent="0.25">
      <c r="Q463" s="195"/>
      <c r="R463" s="195"/>
      <c r="S463" s="195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</row>
    <row r="464" spans="17:45" s="54" customFormat="1" x14ac:dyDescent="0.25">
      <c r="Q464" s="195"/>
      <c r="R464" s="195"/>
      <c r="S464" s="195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90"/>
      <c r="AQ464" s="90"/>
      <c r="AR464" s="90"/>
      <c r="AS464" s="90"/>
    </row>
    <row r="465" spans="17:45" s="54" customFormat="1" x14ac:dyDescent="0.25">
      <c r="Q465" s="195"/>
      <c r="R465" s="195"/>
      <c r="S465" s="195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  <c r="AQ465" s="90"/>
      <c r="AR465" s="90"/>
      <c r="AS465" s="90"/>
    </row>
    <row r="466" spans="17:45" s="54" customFormat="1" x14ac:dyDescent="0.25">
      <c r="Q466" s="195"/>
      <c r="R466" s="195"/>
      <c r="S466" s="195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  <c r="AL466" s="90"/>
      <c r="AM466" s="90"/>
      <c r="AN466" s="90"/>
      <c r="AO466" s="90"/>
      <c r="AP466" s="90"/>
      <c r="AQ466" s="90"/>
      <c r="AR466" s="90"/>
      <c r="AS466" s="90"/>
    </row>
    <row r="467" spans="17:45" s="54" customFormat="1" x14ac:dyDescent="0.25">
      <c r="Q467" s="195"/>
      <c r="R467" s="195"/>
      <c r="S467" s="195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  <c r="AP467" s="90"/>
      <c r="AQ467" s="90"/>
      <c r="AR467" s="90"/>
      <c r="AS467" s="90"/>
    </row>
    <row r="468" spans="17:45" s="54" customFormat="1" x14ac:dyDescent="0.25">
      <c r="Q468" s="195"/>
      <c r="R468" s="195"/>
      <c r="S468" s="195"/>
      <c r="T468" s="90"/>
      <c r="U468" s="90"/>
      <c r="V468" s="90"/>
      <c r="W468" s="90"/>
      <c r="X468" s="90"/>
      <c r="Y468" s="90"/>
      <c r="Z468" s="90"/>
      <c r="AA468" s="90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  <c r="AL468" s="90"/>
      <c r="AM468" s="90"/>
      <c r="AN468" s="90"/>
      <c r="AO468" s="90"/>
      <c r="AP468" s="90"/>
      <c r="AQ468" s="90"/>
      <c r="AR468" s="90"/>
      <c r="AS468" s="90"/>
    </row>
    <row r="469" spans="17:45" s="54" customFormat="1" x14ac:dyDescent="0.25">
      <c r="Q469" s="195"/>
      <c r="R469" s="195"/>
      <c r="S469" s="195"/>
      <c r="T469" s="90"/>
      <c r="U469" s="90"/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  <c r="AP469" s="90"/>
      <c r="AQ469" s="90"/>
      <c r="AR469" s="90"/>
      <c r="AS469" s="90"/>
    </row>
    <row r="470" spans="17:45" s="54" customFormat="1" x14ac:dyDescent="0.25">
      <c r="Q470" s="195"/>
      <c r="R470" s="195"/>
      <c r="S470" s="195"/>
      <c r="T470" s="90"/>
      <c r="U470" s="90"/>
      <c r="V470" s="90"/>
      <c r="W470" s="90"/>
      <c r="X470" s="90"/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  <c r="AL470" s="90"/>
      <c r="AM470" s="90"/>
      <c r="AN470" s="90"/>
      <c r="AO470" s="90"/>
      <c r="AP470" s="90"/>
      <c r="AQ470" s="90"/>
      <c r="AR470" s="90"/>
      <c r="AS470" s="90"/>
    </row>
    <row r="471" spans="17:45" s="54" customFormat="1" x14ac:dyDescent="0.25">
      <c r="Q471" s="195"/>
      <c r="R471" s="195"/>
      <c r="S471" s="195"/>
      <c r="T471" s="90"/>
      <c r="U471" s="90"/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  <c r="AP471" s="90"/>
      <c r="AQ471" s="90"/>
      <c r="AR471" s="90"/>
      <c r="AS471" s="90"/>
    </row>
    <row r="472" spans="17:45" s="54" customFormat="1" x14ac:dyDescent="0.25">
      <c r="Q472" s="195"/>
      <c r="R472" s="195"/>
      <c r="S472" s="195"/>
      <c r="T472" s="90"/>
      <c r="U472" s="90"/>
      <c r="V472" s="90"/>
      <c r="W472" s="90"/>
      <c r="X472" s="90"/>
      <c r="Y472" s="90"/>
      <c r="Z472" s="90"/>
      <c r="AA472" s="90"/>
      <c r="AB472" s="90"/>
      <c r="AC472" s="90"/>
      <c r="AD472" s="90"/>
      <c r="AE472" s="90"/>
      <c r="AF472" s="90"/>
      <c r="AG472" s="90"/>
      <c r="AH472" s="90"/>
      <c r="AI472" s="90"/>
      <c r="AJ472" s="90"/>
      <c r="AK472" s="90"/>
      <c r="AL472" s="90"/>
      <c r="AM472" s="90"/>
      <c r="AN472" s="90"/>
      <c r="AO472" s="90"/>
      <c r="AP472" s="90"/>
      <c r="AQ472" s="90"/>
      <c r="AR472" s="90"/>
      <c r="AS472" s="90"/>
    </row>
    <row r="473" spans="17:45" s="54" customFormat="1" x14ac:dyDescent="0.25">
      <c r="Q473" s="195"/>
      <c r="R473" s="195"/>
      <c r="S473" s="195"/>
      <c r="T473" s="90"/>
      <c r="U473" s="90"/>
      <c r="V473" s="90"/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  <c r="AO473" s="90"/>
      <c r="AP473" s="90"/>
      <c r="AQ473" s="90"/>
      <c r="AR473" s="90"/>
      <c r="AS473" s="90"/>
    </row>
    <row r="474" spans="17:45" s="54" customFormat="1" x14ac:dyDescent="0.25">
      <c r="Q474" s="195"/>
      <c r="R474" s="195"/>
      <c r="S474" s="195"/>
      <c r="T474" s="90"/>
      <c r="U474" s="90"/>
      <c r="V474" s="90"/>
      <c r="W474" s="90"/>
      <c r="X474" s="90"/>
      <c r="Y474" s="90"/>
      <c r="Z474" s="90"/>
      <c r="AA474" s="90"/>
      <c r="AB474" s="90"/>
      <c r="AC474" s="90"/>
      <c r="AD474" s="90"/>
      <c r="AE474" s="90"/>
      <c r="AF474" s="90"/>
      <c r="AG474" s="90"/>
      <c r="AH474" s="90"/>
      <c r="AI474" s="90"/>
      <c r="AJ474" s="90"/>
      <c r="AK474" s="90"/>
      <c r="AL474" s="90"/>
      <c r="AM474" s="90"/>
      <c r="AN474" s="90"/>
      <c r="AO474" s="90"/>
      <c r="AP474" s="90"/>
      <c r="AQ474" s="90"/>
      <c r="AR474" s="90"/>
      <c r="AS474" s="90"/>
    </row>
    <row r="475" spans="17:45" s="54" customFormat="1" x14ac:dyDescent="0.25">
      <c r="Q475" s="195"/>
      <c r="R475" s="195"/>
      <c r="S475" s="195"/>
      <c r="T475" s="90"/>
      <c r="U475" s="90"/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  <c r="AP475" s="90"/>
      <c r="AQ475" s="90"/>
      <c r="AR475" s="90"/>
      <c r="AS475" s="90"/>
    </row>
    <row r="476" spans="17:45" s="54" customFormat="1" x14ac:dyDescent="0.25">
      <c r="Q476" s="195"/>
      <c r="R476" s="195"/>
      <c r="S476" s="195"/>
      <c r="T476" s="90"/>
      <c r="U476" s="90"/>
      <c r="V476" s="90"/>
      <c r="W476" s="90"/>
      <c r="X476" s="90"/>
      <c r="Y476" s="90"/>
      <c r="Z476" s="90"/>
      <c r="AA476" s="90"/>
      <c r="AB476" s="90"/>
      <c r="AC476" s="90"/>
      <c r="AD476" s="90"/>
      <c r="AE476" s="90"/>
      <c r="AF476" s="90"/>
      <c r="AG476" s="90"/>
      <c r="AH476" s="90"/>
      <c r="AI476" s="90"/>
      <c r="AJ476" s="90"/>
      <c r="AK476" s="90"/>
      <c r="AL476" s="90"/>
      <c r="AM476" s="90"/>
      <c r="AN476" s="90"/>
      <c r="AO476" s="90"/>
      <c r="AP476" s="90"/>
      <c r="AQ476" s="90"/>
      <c r="AR476" s="90"/>
      <c r="AS476" s="90"/>
    </row>
    <row r="477" spans="17:45" s="54" customFormat="1" x14ac:dyDescent="0.25">
      <c r="Q477" s="195"/>
      <c r="R477" s="195"/>
      <c r="S477" s="195"/>
      <c r="T477" s="90"/>
      <c r="U477" s="90"/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  <c r="AP477" s="90"/>
      <c r="AQ477" s="90"/>
      <c r="AR477" s="90"/>
      <c r="AS477" s="90"/>
    </row>
    <row r="478" spans="17:45" s="54" customFormat="1" x14ac:dyDescent="0.25">
      <c r="Q478" s="195"/>
      <c r="R478" s="195"/>
      <c r="S478" s="195"/>
      <c r="T478" s="90"/>
      <c r="U478" s="90"/>
      <c r="V478" s="90"/>
      <c r="W478" s="90"/>
      <c r="X478" s="90"/>
      <c r="Y478" s="90"/>
      <c r="Z478" s="90"/>
      <c r="AA478" s="90"/>
      <c r="AB478" s="90"/>
      <c r="AC478" s="90"/>
      <c r="AD478" s="90"/>
      <c r="AE478" s="90"/>
      <c r="AF478" s="90"/>
      <c r="AG478" s="90"/>
      <c r="AH478" s="90"/>
      <c r="AI478" s="90"/>
      <c r="AJ478" s="90"/>
      <c r="AK478" s="90"/>
      <c r="AL478" s="90"/>
      <c r="AM478" s="90"/>
      <c r="AN478" s="90"/>
      <c r="AO478" s="90"/>
      <c r="AP478" s="90"/>
      <c r="AQ478" s="90"/>
      <c r="AR478" s="90"/>
      <c r="AS478" s="90"/>
    </row>
    <row r="479" spans="17:45" s="54" customFormat="1" x14ac:dyDescent="0.25">
      <c r="Q479" s="195"/>
      <c r="R479" s="195"/>
      <c r="S479" s="195"/>
      <c r="T479" s="90"/>
      <c r="U479" s="90"/>
      <c r="V479" s="90"/>
      <c r="W479" s="90"/>
      <c r="X479" s="90"/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  <c r="AL479" s="90"/>
      <c r="AM479" s="90"/>
      <c r="AN479" s="90"/>
      <c r="AO479" s="90"/>
      <c r="AP479" s="90"/>
      <c r="AQ479" s="90"/>
      <c r="AR479" s="90"/>
      <c r="AS479" s="90"/>
    </row>
    <row r="480" spans="17:45" s="54" customFormat="1" x14ac:dyDescent="0.25">
      <c r="Q480" s="195"/>
      <c r="R480" s="195"/>
      <c r="S480" s="195"/>
      <c r="T480" s="90"/>
      <c r="U480" s="90"/>
      <c r="V480" s="90"/>
      <c r="W480" s="90"/>
      <c r="X480" s="90"/>
      <c r="Y480" s="90"/>
      <c r="Z480" s="90"/>
      <c r="AA480" s="90"/>
      <c r="AB480" s="90"/>
      <c r="AC480" s="90"/>
      <c r="AD480" s="90"/>
      <c r="AE480" s="90"/>
      <c r="AF480" s="90"/>
      <c r="AG480" s="90"/>
      <c r="AH480" s="90"/>
      <c r="AI480" s="90"/>
      <c r="AJ480" s="90"/>
      <c r="AK480" s="90"/>
      <c r="AL480" s="90"/>
      <c r="AM480" s="90"/>
      <c r="AN480" s="90"/>
      <c r="AO480" s="90"/>
      <c r="AP480" s="90"/>
      <c r="AQ480" s="90"/>
      <c r="AR480" s="90"/>
      <c r="AS480" s="90"/>
    </row>
    <row r="481" spans="17:45" s="54" customFormat="1" x14ac:dyDescent="0.25">
      <c r="Q481" s="195"/>
      <c r="R481" s="195"/>
      <c r="S481" s="195"/>
      <c r="T481" s="90"/>
      <c r="U481" s="90"/>
      <c r="V481" s="90"/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  <c r="AO481" s="90"/>
      <c r="AP481" s="90"/>
      <c r="AQ481" s="90"/>
      <c r="AR481" s="90"/>
      <c r="AS481" s="90"/>
    </row>
    <row r="482" spans="17:45" s="54" customFormat="1" x14ac:dyDescent="0.25">
      <c r="Q482" s="195"/>
      <c r="R482" s="195"/>
      <c r="S482" s="195"/>
      <c r="T482" s="90"/>
      <c r="U482" s="90"/>
      <c r="V482" s="90"/>
      <c r="W482" s="90"/>
      <c r="X482" s="90"/>
      <c r="Y482" s="90"/>
      <c r="Z482" s="90"/>
      <c r="AA482" s="90"/>
      <c r="AB482" s="90"/>
      <c r="AC482" s="90"/>
      <c r="AD482" s="90"/>
      <c r="AE482" s="90"/>
      <c r="AF482" s="90"/>
      <c r="AG482" s="90"/>
      <c r="AH482" s="90"/>
      <c r="AI482" s="90"/>
      <c r="AJ482" s="90"/>
      <c r="AK482" s="90"/>
      <c r="AL482" s="90"/>
      <c r="AM482" s="90"/>
      <c r="AN482" s="90"/>
      <c r="AO482" s="90"/>
      <c r="AP482" s="90"/>
      <c r="AQ482" s="90"/>
      <c r="AR482" s="90"/>
      <c r="AS482" s="90"/>
    </row>
    <row r="483" spans="17:45" s="54" customFormat="1" x14ac:dyDescent="0.25">
      <c r="Q483" s="195"/>
      <c r="R483" s="195"/>
      <c r="S483" s="195"/>
      <c r="T483" s="90"/>
      <c r="U483" s="90"/>
      <c r="V483" s="90"/>
      <c r="W483" s="90"/>
      <c r="X483" s="90"/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  <c r="AL483" s="90"/>
      <c r="AM483" s="90"/>
      <c r="AN483" s="90"/>
      <c r="AO483" s="90"/>
      <c r="AP483" s="90"/>
      <c r="AQ483" s="90"/>
      <c r="AR483" s="90"/>
      <c r="AS483" s="90"/>
    </row>
    <row r="484" spans="17:45" s="54" customFormat="1" x14ac:dyDescent="0.25">
      <c r="Q484" s="195"/>
      <c r="R484" s="195"/>
      <c r="S484" s="195"/>
      <c r="T484" s="90"/>
      <c r="U484" s="90"/>
      <c r="V484" s="90"/>
      <c r="W484" s="90"/>
      <c r="X484" s="90"/>
      <c r="Y484" s="90"/>
      <c r="Z484" s="90"/>
      <c r="AA484" s="90"/>
      <c r="AB484" s="90"/>
      <c r="AC484" s="90"/>
      <c r="AD484" s="90"/>
      <c r="AE484" s="90"/>
      <c r="AF484" s="90"/>
      <c r="AG484" s="90"/>
      <c r="AH484" s="90"/>
      <c r="AI484" s="90"/>
      <c r="AJ484" s="90"/>
      <c r="AK484" s="90"/>
      <c r="AL484" s="90"/>
      <c r="AM484" s="90"/>
      <c r="AN484" s="90"/>
      <c r="AO484" s="90"/>
      <c r="AP484" s="90"/>
      <c r="AQ484" s="90"/>
      <c r="AR484" s="90"/>
      <c r="AS484" s="90"/>
    </row>
    <row r="485" spans="17:45" s="54" customFormat="1" x14ac:dyDescent="0.25">
      <c r="Q485" s="195"/>
      <c r="R485" s="195"/>
      <c r="S485" s="195"/>
      <c r="T485" s="90"/>
      <c r="U485" s="90"/>
      <c r="V485" s="90"/>
      <c r="W485" s="90"/>
      <c r="X485" s="90"/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90"/>
      <c r="AN485" s="90"/>
      <c r="AO485" s="90"/>
      <c r="AP485" s="90"/>
      <c r="AQ485" s="90"/>
      <c r="AR485" s="90"/>
      <c r="AS485" s="90"/>
    </row>
    <row r="486" spans="17:45" s="54" customFormat="1" x14ac:dyDescent="0.25">
      <c r="Q486" s="195"/>
      <c r="R486" s="195"/>
      <c r="S486" s="195"/>
      <c r="T486" s="90"/>
      <c r="U486" s="90"/>
      <c r="V486" s="90"/>
      <c r="W486" s="90"/>
      <c r="X486" s="90"/>
      <c r="Y486" s="90"/>
      <c r="Z486" s="90"/>
      <c r="AA486" s="90"/>
      <c r="AB486" s="90"/>
      <c r="AC486" s="90"/>
      <c r="AD486" s="90"/>
      <c r="AE486" s="90"/>
      <c r="AF486" s="90"/>
      <c r="AG486" s="90"/>
      <c r="AH486" s="90"/>
      <c r="AI486" s="90"/>
      <c r="AJ486" s="90"/>
      <c r="AK486" s="90"/>
      <c r="AL486" s="90"/>
      <c r="AM486" s="90"/>
      <c r="AN486" s="90"/>
      <c r="AO486" s="90"/>
      <c r="AP486" s="90"/>
      <c r="AQ486" s="90"/>
      <c r="AR486" s="90"/>
      <c r="AS486" s="90"/>
    </row>
    <row r="487" spans="17:45" s="54" customFormat="1" x14ac:dyDescent="0.25">
      <c r="Q487" s="195"/>
      <c r="R487" s="195"/>
      <c r="S487" s="195"/>
      <c r="T487" s="90"/>
      <c r="U487" s="90"/>
      <c r="V487" s="90"/>
      <c r="W487" s="90"/>
      <c r="X487" s="90"/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  <c r="AL487" s="90"/>
      <c r="AM487" s="90"/>
      <c r="AN487" s="90"/>
      <c r="AO487" s="90"/>
      <c r="AP487" s="90"/>
      <c r="AQ487" s="90"/>
      <c r="AR487" s="90"/>
      <c r="AS487" s="90"/>
    </row>
    <row r="488" spans="17:45" s="54" customFormat="1" x14ac:dyDescent="0.25">
      <c r="Q488" s="195"/>
      <c r="R488" s="195"/>
      <c r="S488" s="195"/>
      <c r="T488" s="90"/>
      <c r="U488" s="90"/>
      <c r="V488" s="90"/>
      <c r="W488" s="90"/>
      <c r="X488" s="90"/>
      <c r="Y488" s="90"/>
      <c r="Z488" s="90"/>
      <c r="AA488" s="90"/>
      <c r="AB488" s="90"/>
      <c r="AC488" s="90"/>
      <c r="AD488" s="90"/>
      <c r="AE488" s="90"/>
      <c r="AF488" s="90"/>
      <c r="AG488" s="90"/>
      <c r="AH488" s="90"/>
      <c r="AI488" s="90"/>
      <c r="AJ488" s="90"/>
      <c r="AK488" s="90"/>
      <c r="AL488" s="90"/>
      <c r="AM488" s="90"/>
      <c r="AN488" s="90"/>
      <c r="AO488" s="90"/>
      <c r="AP488" s="90"/>
      <c r="AQ488" s="90"/>
      <c r="AR488" s="90"/>
      <c r="AS488" s="90"/>
    </row>
    <row r="489" spans="17:45" s="54" customFormat="1" x14ac:dyDescent="0.25">
      <c r="Q489" s="195"/>
      <c r="R489" s="195"/>
      <c r="S489" s="195"/>
      <c r="T489" s="90"/>
      <c r="U489" s="90"/>
      <c r="V489" s="90"/>
      <c r="W489" s="90"/>
      <c r="X489" s="90"/>
      <c r="Y489" s="90"/>
      <c r="Z489" s="90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  <c r="AM489" s="90"/>
      <c r="AN489" s="90"/>
      <c r="AO489" s="90"/>
      <c r="AP489" s="90"/>
      <c r="AQ489" s="90"/>
      <c r="AR489" s="90"/>
      <c r="AS489" s="90"/>
    </row>
  </sheetData>
  <autoFilter ref="A14:BN83" xr:uid="{32EB1E7A-CD0A-4979-819B-C08E4A418DC3}"/>
  <mergeCells count="15">
    <mergeCell ref="L13:P13"/>
    <mergeCell ref="Q13:S13"/>
    <mergeCell ref="D86:H86"/>
    <mergeCell ref="L86:O86"/>
    <mergeCell ref="A1:P1"/>
    <mergeCell ref="A3:P3"/>
    <mergeCell ref="A4:P4"/>
    <mergeCell ref="A13:A14"/>
    <mergeCell ref="B13:B14"/>
    <mergeCell ref="C13:C14"/>
    <mergeCell ref="D13:D14"/>
    <mergeCell ref="E13:E14"/>
    <mergeCell ref="F13:F14"/>
    <mergeCell ref="G13:G14"/>
    <mergeCell ref="H13:K13"/>
  </mergeCells>
  <conditionalFormatting sqref="C15:C82">
    <cfRule type="expression" priority="1" stopIfTrue="1">
      <formula>#REF!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40</vt:i4>
      </vt:variant>
    </vt:vector>
  </HeadingPairs>
  <TitlesOfParts>
    <vt:vector size="61" baseType="lpstr">
      <vt:lpstr>Koptāme</vt:lpstr>
      <vt:lpstr>Kopsavilkums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 </vt:lpstr>
      <vt:lpstr>19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 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Kopsavilkums!Print_Area</vt:lpstr>
      <vt:lpstr>Koptāme!Print_Area</vt:lpstr>
      <vt:lpstr>'1'!Print_Titles</vt:lpstr>
      <vt:lpstr>'10'!Print_Titles</vt:lpstr>
      <vt:lpstr>'11'!Print_Titles</vt:lpstr>
      <vt:lpstr>'12'!Print_Titles</vt:lpstr>
      <vt:lpstr>'13'!Print_Titles</vt:lpstr>
      <vt:lpstr>'14'!Print_Titles</vt:lpstr>
      <vt:lpstr>'15'!Print_Titles</vt:lpstr>
      <vt:lpstr>'16'!Print_Titles</vt:lpstr>
      <vt:lpstr>'17'!Print_Titles</vt:lpstr>
      <vt:lpstr>'18 '!Print_Titles</vt:lpstr>
      <vt:lpstr>'19'!Print_Titles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kristaps-u</dc:creator>
  <cp:lastModifiedBy>Raitis Ence</cp:lastModifiedBy>
  <cp:lastPrinted>2018-08-27T11:04:25Z</cp:lastPrinted>
  <dcterms:created xsi:type="dcterms:W3CDTF">2018-08-27T07:37:09Z</dcterms:created>
  <dcterms:modified xsi:type="dcterms:W3CDTF">2025-10-08T10:39:30Z</dcterms:modified>
</cp:coreProperties>
</file>