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User\Desktop\RAITIS 16.06.2024\MAKSAS Inkubators 2024\Jauncerini ZS ALuksne\Būvnieciba\iepirkumam 1\"/>
    </mc:Choice>
  </mc:AlternateContent>
  <xr:revisionPtr revIDLastSave="0" documentId="13_ncr:1_{99C1651E-3D62-4E4F-BAD6-7CCB872AECEB}" xr6:coauthVersionLast="47" xr6:coauthVersionMax="47" xr10:uidLastSave="{00000000-0000-0000-0000-000000000000}"/>
  <bookViews>
    <workbookView xWindow="-120" yWindow="-120" windowWidth="29040" windowHeight="15720" tabRatio="819" activeTab="9" xr2:uid="{0AEE3A08-6581-458D-81B2-73D55B7AB214}"/>
  </bookViews>
  <sheets>
    <sheet name="Koptāme" sheetId="1" r:id="rId1"/>
    <sheet name="1.KOPS" sheetId="2" r:id="rId2"/>
    <sheet name="1-1.DOP" sheetId="3" r:id="rId3"/>
    <sheet name="1-2.ZD" sheetId="4" r:id="rId4"/>
    <sheet name="1-3.Govju_kūts" sheetId="5" r:id="rId5"/>
    <sheet name="1-4.GP" sheetId="6" r:id="rId6"/>
    <sheet name="1-5. EL" sheetId="7" r:id="rId7"/>
    <sheet name="1-6. ELT" sheetId="8" r:id="rId8"/>
    <sheet name="1-7. UK" sheetId="9" r:id="rId9"/>
    <sheet name="1-8.UKT" sheetId="10" r:id="rId10"/>
  </sheets>
  <definedNames>
    <definedName name="_xlnm.Print_Area" localSheetId="1">'1.KOPS'!$A$1:$H$36</definedName>
    <definedName name="_xlnm.Print_Area" localSheetId="4">'1-3.Govju_kūts'!$A$1:$P$256</definedName>
    <definedName name="_xlnm.Print_Titles" localSheetId="2">'1-1.DOP'!$11:$13</definedName>
    <definedName name="_xlnm.Print_Titles" localSheetId="3">'1-2.ZD'!$11:$13</definedName>
    <definedName name="_xlnm.Print_Titles" localSheetId="4">'1-3.Govju_kūts'!$11:$13</definedName>
    <definedName name="_xlnm.Print_Titles" localSheetId="5">'1-4.GP'!$11:$13</definedName>
    <definedName name="_xlnm.Print_Titles" localSheetId="6">'1-5. EL'!$11:$13</definedName>
    <definedName name="_xlnm.Print_Titles" localSheetId="7">'1-6. ELT'!$11:$13</definedName>
    <definedName name="_xlnm.Print_Titles" localSheetId="8">'1-7. UK'!$11:$13</definedName>
    <definedName name="_xlnm.Print_Titles" localSheetId="9">'1-8.UKT'!$11:$13</definedName>
    <definedName name="Profiles">NA()</definedName>
    <definedName name="Steel_class">NA()</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7" i="2"/>
  <c r="A8" i="2"/>
  <c r="A18" i="2"/>
  <c r="A19" i="2"/>
  <c r="A20" i="2"/>
  <c r="A21" i="2"/>
  <c r="A22" i="2"/>
  <c r="A23" i="2"/>
  <c r="A24" i="2"/>
  <c r="C38" i="2"/>
  <c r="A5" i="3"/>
  <c r="A6" i="3"/>
  <c r="A7" i="3"/>
  <c r="N9" i="3"/>
  <c r="N9" i="8" s="1"/>
  <c r="E15" i="3"/>
  <c r="A16" i="3"/>
  <c r="E16" i="3"/>
  <c r="A17" i="3"/>
  <c r="A18" i="3"/>
  <c r="A19" i="3"/>
  <c r="A20" i="3"/>
  <c r="E20" i="3"/>
  <c r="A21" i="3"/>
  <c r="E21" i="3"/>
  <c r="A22" i="3"/>
  <c r="E22" i="3"/>
  <c r="A23" i="3"/>
  <c r="E23" i="3"/>
  <c r="A24" i="3"/>
  <c r="E24" i="3"/>
  <c r="A25" i="3"/>
  <c r="E25" i="3"/>
  <c r="A26" i="3"/>
  <c r="A27" i="3"/>
  <c r="A28" i="3"/>
  <c r="A29" i="3"/>
  <c r="E29" i="3"/>
  <c r="A30" i="3"/>
  <c r="A31" i="3"/>
  <c r="A32" i="3"/>
  <c r="E32" i="3"/>
  <c r="L34" i="3"/>
  <c r="H17" i="2" s="1"/>
  <c r="M34" i="3"/>
  <c r="E17" i="2" s="1"/>
  <c r="N34" i="3"/>
  <c r="F17" i="2" s="1"/>
  <c r="O34" i="3"/>
  <c r="G17" i="2" s="1"/>
  <c r="P34" i="3"/>
  <c r="P8" i="3" s="1"/>
  <c r="A40" i="3"/>
  <c r="A5" i="4"/>
  <c r="A6" i="4"/>
  <c r="A7" i="4"/>
  <c r="N9" i="4"/>
  <c r="A16" i="4"/>
  <c r="A17" i="4"/>
  <c r="A18" i="4"/>
  <c r="A21" i="4"/>
  <c r="A22" i="4"/>
  <c r="A25" i="4"/>
  <c r="A26" i="4"/>
  <c r="L28" i="4"/>
  <c r="H18" i="2" s="1"/>
  <c r="M28" i="4"/>
  <c r="E18" i="2" s="1"/>
  <c r="N28" i="4"/>
  <c r="F18" i="2" s="1"/>
  <c r="O28" i="4"/>
  <c r="G18" i="2" s="1"/>
  <c r="P28" i="4"/>
  <c r="P8" i="4" s="1"/>
  <c r="A34" i="4"/>
  <c r="A5" i="5"/>
  <c r="A6" i="5"/>
  <c r="A7" i="5"/>
  <c r="N9" i="5"/>
  <c r="B15" i="5"/>
  <c r="A15" i="5" s="1"/>
  <c r="A16" i="5"/>
  <c r="B16" i="5"/>
  <c r="E17" i="5"/>
  <c r="B18" i="5"/>
  <c r="A18" i="5" s="1"/>
  <c r="E18" i="5"/>
  <c r="B19" i="5"/>
  <c r="A19" i="5" s="1"/>
  <c r="E19" i="5"/>
  <c r="B20" i="5"/>
  <c r="A20" i="5" s="1"/>
  <c r="E20" i="5"/>
  <c r="B21" i="5"/>
  <c r="A21" i="5" s="1"/>
  <c r="E21" i="5"/>
  <c r="B22" i="5"/>
  <c r="A22" i="5" s="1"/>
  <c r="E22" i="5"/>
  <c r="B23" i="5"/>
  <c r="A23" i="5" s="1"/>
  <c r="E23" i="5"/>
  <c r="R23" i="5"/>
  <c r="A24" i="5"/>
  <c r="B24" i="5"/>
  <c r="B26" i="5"/>
  <c r="A26" i="5" s="1"/>
  <c r="E26" i="5"/>
  <c r="B27" i="5"/>
  <c r="A27" i="5" s="1"/>
  <c r="E27" i="5"/>
  <c r="B28" i="5"/>
  <c r="A28" i="5" s="1"/>
  <c r="E28" i="5"/>
  <c r="B29" i="5"/>
  <c r="A29" i="5" s="1"/>
  <c r="E29" i="5"/>
  <c r="B30" i="5"/>
  <c r="A30" i="5" s="1"/>
  <c r="E30" i="5"/>
  <c r="B31" i="5"/>
  <c r="A31" i="5" s="1"/>
  <c r="E31" i="5"/>
  <c r="R31" i="5"/>
  <c r="A32" i="5"/>
  <c r="B32" i="5"/>
  <c r="B34" i="5"/>
  <c r="A34" i="5" s="1"/>
  <c r="E34" i="5"/>
  <c r="B35" i="5"/>
  <c r="A35" i="5" s="1"/>
  <c r="E35" i="5"/>
  <c r="B36" i="5"/>
  <c r="A36" i="5" s="1"/>
  <c r="E36" i="5"/>
  <c r="B37" i="5"/>
  <c r="A37" i="5" s="1"/>
  <c r="E37" i="5"/>
  <c r="B38" i="5"/>
  <c r="A38" i="5" s="1"/>
  <c r="E38" i="5"/>
  <c r="B39" i="5"/>
  <c r="A39" i="5" s="1"/>
  <c r="E39" i="5"/>
  <c r="R39" i="5"/>
  <c r="B42" i="5"/>
  <c r="A42" i="5" s="1"/>
  <c r="E42" i="5"/>
  <c r="B43" i="5"/>
  <c r="A43" i="5" s="1"/>
  <c r="E43" i="5"/>
  <c r="B44" i="5"/>
  <c r="A44" i="5" s="1"/>
  <c r="E44" i="5"/>
  <c r="B45" i="5"/>
  <c r="A45" i="5" s="1"/>
  <c r="E45" i="5"/>
  <c r="B46" i="5"/>
  <c r="A46" i="5" s="1"/>
  <c r="E46" i="5"/>
  <c r="B47" i="5"/>
  <c r="A47" i="5" s="1"/>
  <c r="E47" i="5"/>
  <c r="R47" i="5"/>
  <c r="B50" i="5"/>
  <c r="A50" i="5" s="1"/>
  <c r="E50" i="5"/>
  <c r="B51" i="5"/>
  <c r="A51" i="5" s="1"/>
  <c r="E51" i="5"/>
  <c r="B52" i="5"/>
  <c r="A52" i="5" s="1"/>
  <c r="E52" i="5"/>
  <c r="B53" i="5"/>
  <c r="A53" i="5" s="1"/>
  <c r="E53" i="5"/>
  <c r="B54" i="5"/>
  <c r="A54" i="5" s="1"/>
  <c r="E54" i="5"/>
  <c r="B55" i="5"/>
  <c r="A55" i="5" s="1"/>
  <c r="E55" i="5"/>
  <c r="R55" i="5"/>
  <c r="A56" i="5"/>
  <c r="B56" i="5"/>
  <c r="B58" i="5"/>
  <c r="A58" i="5" s="1"/>
  <c r="E58" i="5"/>
  <c r="B59" i="5"/>
  <c r="A59" i="5" s="1"/>
  <c r="E59" i="5"/>
  <c r="B60" i="5"/>
  <c r="A60" i="5" s="1"/>
  <c r="E60" i="5"/>
  <c r="B61" i="5"/>
  <c r="A61" i="5" s="1"/>
  <c r="E61" i="5"/>
  <c r="B62" i="5"/>
  <c r="A62" i="5" s="1"/>
  <c r="E62" i="5"/>
  <c r="R62" i="5"/>
  <c r="A63" i="5"/>
  <c r="B63" i="5"/>
  <c r="E64" i="5"/>
  <c r="B65" i="5"/>
  <c r="A65" i="5" s="1"/>
  <c r="E65" i="5"/>
  <c r="B66" i="5"/>
  <c r="A66" i="5" s="1"/>
  <c r="E66" i="5"/>
  <c r="B67" i="5"/>
  <c r="A67" i="5" s="1"/>
  <c r="E67" i="5"/>
  <c r="B68" i="5"/>
  <c r="A68" i="5" s="1"/>
  <c r="E68" i="5"/>
  <c r="B69" i="5"/>
  <c r="A69" i="5" s="1"/>
  <c r="E69" i="5"/>
  <c r="R69" i="5"/>
  <c r="A70" i="5"/>
  <c r="B70" i="5"/>
  <c r="A71" i="5"/>
  <c r="B71" i="5"/>
  <c r="B72" i="5"/>
  <c r="A72" i="5" s="1"/>
  <c r="B73" i="5"/>
  <c r="A73" i="5" s="1"/>
  <c r="E73" i="5"/>
  <c r="B74" i="5"/>
  <c r="A74" i="5" s="1"/>
  <c r="E74" i="5"/>
  <c r="B75" i="5"/>
  <c r="A75" i="5" s="1"/>
  <c r="E75" i="5"/>
  <c r="A76" i="5"/>
  <c r="B76" i="5"/>
  <c r="A77" i="5"/>
  <c r="B77" i="5"/>
  <c r="B78" i="5"/>
  <c r="A78" i="5" s="1"/>
  <c r="E78" i="5"/>
  <c r="B79" i="5"/>
  <c r="A79" i="5" s="1"/>
  <c r="E79" i="5"/>
  <c r="B80" i="5"/>
  <c r="A80" i="5" s="1"/>
  <c r="E80" i="5"/>
  <c r="B81" i="5"/>
  <c r="A81" i="5" s="1"/>
  <c r="E81" i="5"/>
  <c r="A83" i="5"/>
  <c r="B83" i="5"/>
  <c r="B84" i="5"/>
  <c r="A84" i="5" s="1"/>
  <c r="B85" i="5"/>
  <c r="A85" i="5" s="1"/>
  <c r="E85" i="5"/>
  <c r="B86" i="5"/>
  <c r="A86" i="5" s="1"/>
  <c r="E86" i="5"/>
  <c r="B87" i="5"/>
  <c r="A87" i="5" s="1"/>
  <c r="R87" i="5"/>
  <c r="B88" i="5"/>
  <c r="A88" i="5" s="1"/>
  <c r="B89" i="5"/>
  <c r="A89" i="5" s="1"/>
  <c r="B90" i="5"/>
  <c r="A90" i="5" s="1"/>
  <c r="E90" i="5"/>
  <c r="A91" i="5"/>
  <c r="B91" i="5"/>
  <c r="A92" i="5"/>
  <c r="B92" i="5"/>
  <c r="H92" i="5"/>
  <c r="K92" i="5"/>
  <c r="L92" i="5"/>
  <c r="M92" i="5"/>
  <c r="N92" i="5"/>
  <c r="O92" i="5"/>
  <c r="P92" i="5"/>
  <c r="A93" i="5"/>
  <c r="B93" i="5"/>
  <c r="H93" i="5"/>
  <c r="K93" i="5"/>
  <c r="L93" i="5"/>
  <c r="M93" i="5"/>
  <c r="N93" i="5"/>
  <c r="O93" i="5"/>
  <c r="P93" i="5"/>
  <c r="B94" i="5"/>
  <c r="A94" i="5" s="1"/>
  <c r="E94" i="5"/>
  <c r="B95" i="5"/>
  <c r="A95" i="5" s="1"/>
  <c r="E95" i="5"/>
  <c r="B96" i="5"/>
  <c r="A96" i="5" s="1"/>
  <c r="E96" i="5"/>
  <c r="B97" i="5"/>
  <c r="A97" i="5" s="1"/>
  <c r="A98" i="5"/>
  <c r="B98" i="5"/>
  <c r="B99" i="5"/>
  <c r="A99" i="5" s="1"/>
  <c r="B100" i="5"/>
  <c r="A100" i="5" s="1"/>
  <c r="E100" i="5"/>
  <c r="B101" i="5"/>
  <c r="A101" i="5" s="1"/>
  <c r="E101" i="5"/>
  <c r="B102" i="5"/>
  <c r="A102" i="5" s="1"/>
  <c r="E102" i="5"/>
  <c r="B103" i="5"/>
  <c r="A103" i="5" s="1"/>
  <c r="E103" i="5"/>
  <c r="A104" i="5"/>
  <c r="B104" i="5"/>
  <c r="B105" i="5"/>
  <c r="A105" i="5" s="1"/>
  <c r="E105" i="5"/>
  <c r="B106" i="5"/>
  <c r="A106" i="5" s="1"/>
  <c r="E106" i="5"/>
  <c r="D107" i="5"/>
  <c r="E107" i="5"/>
  <c r="A108" i="5"/>
  <c r="B108" i="5"/>
  <c r="B109" i="5"/>
  <c r="E109" i="5"/>
  <c r="B110" i="5"/>
  <c r="E110" i="5"/>
  <c r="B111" i="5"/>
  <c r="E111" i="5"/>
  <c r="B112" i="5"/>
  <c r="E112" i="5"/>
  <c r="A113" i="5"/>
  <c r="B113" i="5"/>
  <c r="A114" i="5"/>
  <c r="B114" i="5"/>
  <c r="A115" i="5"/>
  <c r="B115" i="5"/>
  <c r="B116" i="5"/>
  <c r="A117" i="5"/>
  <c r="B117" i="5"/>
  <c r="H117" i="5"/>
  <c r="K117" i="5"/>
  <c r="L117" i="5"/>
  <c r="M117" i="5"/>
  <c r="N117" i="5"/>
  <c r="O117" i="5"/>
  <c r="P117" i="5"/>
  <c r="A118" i="5"/>
  <c r="B118" i="5"/>
  <c r="H118" i="5"/>
  <c r="K118" i="5"/>
  <c r="L118" i="5"/>
  <c r="M118" i="5"/>
  <c r="N118" i="5"/>
  <c r="O118" i="5"/>
  <c r="P118" i="5"/>
  <c r="B119" i="5"/>
  <c r="E119" i="5"/>
  <c r="A120" i="5"/>
  <c r="B120" i="5"/>
  <c r="B121" i="5"/>
  <c r="E121" i="5"/>
  <c r="A122" i="5"/>
  <c r="B122" i="5"/>
  <c r="A123" i="5"/>
  <c r="B123" i="5"/>
  <c r="B124" i="5"/>
  <c r="A125" i="5"/>
  <c r="B125" i="5"/>
  <c r="A126" i="5"/>
  <c r="B126" i="5"/>
  <c r="B127" i="5"/>
  <c r="E127" i="5"/>
  <c r="B128" i="5"/>
  <c r="E128" i="5"/>
  <c r="A129" i="5"/>
  <c r="B129" i="5"/>
  <c r="A130" i="5"/>
  <c r="B130" i="5"/>
  <c r="B131" i="5"/>
  <c r="E131" i="5"/>
  <c r="B132" i="5"/>
  <c r="E132" i="5"/>
  <c r="B133" i="5"/>
  <c r="E133" i="5"/>
  <c r="B134" i="5"/>
  <c r="E134" i="5"/>
  <c r="B135" i="5"/>
  <c r="A136" i="5"/>
  <c r="B136" i="5"/>
  <c r="A137" i="5"/>
  <c r="B137" i="5"/>
  <c r="B138" i="5"/>
  <c r="E138" i="5"/>
  <c r="B139" i="5"/>
  <c r="A140" i="5"/>
  <c r="B140" i="5"/>
  <c r="A141" i="5"/>
  <c r="B141" i="5"/>
  <c r="B142" i="5"/>
  <c r="E142" i="5"/>
  <c r="B143" i="5"/>
  <c r="E143" i="5"/>
  <c r="A144" i="5"/>
  <c r="B144" i="5"/>
  <c r="A145" i="5"/>
  <c r="B145" i="5"/>
  <c r="B146" i="5"/>
  <c r="E146" i="5"/>
  <c r="B147" i="5"/>
  <c r="E147" i="5"/>
  <c r="A148" i="5"/>
  <c r="B148" i="5"/>
  <c r="A149" i="5"/>
  <c r="B149" i="5"/>
  <c r="B150" i="5"/>
  <c r="E150" i="5"/>
  <c r="A151" i="5"/>
  <c r="B151" i="5"/>
  <c r="A152" i="5"/>
  <c r="B152" i="5"/>
  <c r="E153" i="5"/>
  <c r="B154" i="5"/>
  <c r="E154" i="5"/>
  <c r="B155" i="5"/>
  <c r="E155" i="5"/>
  <c r="B156" i="5"/>
  <c r="E156" i="5"/>
  <c r="B157" i="5"/>
  <c r="E157" i="5"/>
  <c r="D158" i="5"/>
  <c r="E158" i="5"/>
  <c r="B159" i="5"/>
  <c r="E159" i="5"/>
  <c r="B160" i="5"/>
  <c r="E160" i="5"/>
  <c r="B161" i="5"/>
  <c r="E161" i="5"/>
  <c r="B162" i="5"/>
  <c r="E162" i="5"/>
  <c r="E163" i="5"/>
  <c r="B164" i="5"/>
  <c r="E164" i="5"/>
  <c r="B165" i="5"/>
  <c r="E165" i="5"/>
  <c r="B166" i="5"/>
  <c r="E166" i="5"/>
  <c r="B167" i="5"/>
  <c r="E167" i="5"/>
  <c r="D168" i="5"/>
  <c r="E168" i="5"/>
  <c r="B169" i="5"/>
  <c r="E169" i="5"/>
  <c r="B170" i="5"/>
  <c r="E170" i="5"/>
  <c r="B171" i="5"/>
  <c r="E171" i="5"/>
  <c r="A172" i="5"/>
  <c r="B172" i="5"/>
  <c r="E173" i="5"/>
  <c r="B174" i="5"/>
  <c r="E174" i="5"/>
  <c r="B175" i="5"/>
  <c r="E175" i="5"/>
  <c r="B176" i="5"/>
  <c r="E176" i="5"/>
  <c r="B177" i="5"/>
  <c r="E177" i="5"/>
  <c r="D178" i="5"/>
  <c r="E178" i="5"/>
  <c r="B179" i="5"/>
  <c r="E179" i="5"/>
  <c r="B180" i="5"/>
  <c r="E180" i="5"/>
  <c r="D181" i="5"/>
  <c r="E181" i="5"/>
  <c r="A182" i="5"/>
  <c r="B182" i="5"/>
  <c r="E183" i="5"/>
  <c r="B184" i="5"/>
  <c r="E184" i="5"/>
  <c r="B185" i="5"/>
  <c r="E185" i="5"/>
  <c r="B186" i="5"/>
  <c r="E186" i="5"/>
  <c r="B187" i="5"/>
  <c r="E187" i="5"/>
  <c r="D188" i="5"/>
  <c r="E188" i="5"/>
  <c r="B189" i="5"/>
  <c r="E189" i="5"/>
  <c r="B190" i="5"/>
  <c r="E190" i="5"/>
  <c r="B191" i="5"/>
  <c r="E191" i="5"/>
  <c r="A192" i="5"/>
  <c r="B192" i="5"/>
  <c r="E193" i="5"/>
  <c r="B194" i="5"/>
  <c r="E194" i="5"/>
  <c r="B195" i="5"/>
  <c r="E195" i="5"/>
  <c r="B196" i="5"/>
  <c r="E196" i="5"/>
  <c r="B197" i="5"/>
  <c r="E197" i="5"/>
  <c r="D198" i="5"/>
  <c r="E198" i="5"/>
  <c r="B199" i="5"/>
  <c r="E199" i="5"/>
  <c r="B200" i="5"/>
  <c r="E200" i="5"/>
  <c r="A201" i="5"/>
  <c r="B201" i="5"/>
  <c r="A202" i="5"/>
  <c r="B202" i="5"/>
  <c r="E203" i="5"/>
  <c r="B204" i="5"/>
  <c r="E204" i="5"/>
  <c r="B205" i="5"/>
  <c r="E205" i="5"/>
  <c r="B206" i="5"/>
  <c r="E206" i="5"/>
  <c r="B207" i="5"/>
  <c r="E207" i="5"/>
  <c r="B208" i="5"/>
  <c r="E208" i="5"/>
  <c r="D209" i="5"/>
  <c r="E209" i="5"/>
  <c r="B210" i="5"/>
  <c r="E210" i="5"/>
  <c r="B211" i="5"/>
  <c r="E211" i="5"/>
  <c r="A213" i="5"/>
  <c r="B213" i="5"/>
  <c r="E214" i="5"/>
  <c r="B215" i="5"/>
  <c r="E215" i="5"/>
  <c r="B216" i="5"/>
  <c r="E216" i="5"/>
  <c r="B217" i="5"/>
  <c r="E217" i="5"/>
  <c r="B218" i="5"/>
  <c r="E218" i="5"/>
  <c r="D219" i="5"/>
  <c r="B220" i="5"/>
  <c r="E220" i="5"/>
  <c r="B221" i="5"/>
  <c r="E221" i="5"/>
  <c r="B222" i="5"/>
  <c r="E222" i="5"/>
  <c r="A223" i="5"/>
  <c r="B223" i="5"/>
  <c r="E224" i="5"/>
  <c r="B225" i="5"/>
  <c r="E225" i="5"/>
  <c r="B226" i="5"/>
  <c r="E226" i="5"/>
  <c r="B227" i="5"/>
  <c r="E227" i="5"/>
  <c r="B228" i="5"/>
  <c r="E228" i="5"/>
  <c r="B229" i="5"/>
  <c r="E229" i="5"/>
  <c r="D230" i="5"/>
  <c r="E230" i="5"/>
  <c r="B231" i="5"/>
  <c r="E231" i="5"/>
  <c r="B232" i="5"/>
  <c r="E232" i="5"/>
  <c r="B233" i="5"/>
  <c r="E233" i="5"/>
  <c r="A234" i="5"/>
  <c r="B234" i="5"/>
  <c r="A235" i="5"/>
  <c r="B235" i="5"/>
  <c r="A236" i="5"/>
  <c r="B236" i="5"/>
  <c r="B237" i="5"/>
  <c r="A238" i="5"/>
  <c r="B238" i="5"/>
  <c r="H238" i="5"/>
  <c r="K238" i="5"/>
  <c r="L238" i="5"/>
  <c r="M238" i="5"/>
  <c r="N238" i="5"/>
  <c r="O238" i="5"/>
  <c r="P238" i="5"/>
  <c r="B239" i="5"/>
  <c r="H239" i="5"/>
  <c r="K239" i="5" s="1"/>
  <c r="L239" i="5"/>
  <c r="N239" i="5"/>
  <c r="O239" i="5"/>
  <c r="B240" i="5"/>
  <c r="H240" i="5"/>
  <c r="K240" i="5" s="1"/>
  <c r="L240" i="5"/>
  <c r="N240" i="5"/>
  <c r="O240" i="5"/>
  <c r="H241" i="5"/>
  <c r="K241" i="5"/>
  <c r="L241" i="5"/>
  <c r="M241" i="5"/>
  <c r="N241" i="5"/>
  <c r="O241" i="5"/>
  <c r="P241" i="5"/>
  <c r="A242" i="5"/>
  <c r="B242" i="5"/>
  <c r="H242" i="5"/>
  <c r="K242" i="5"/>
  <c r="L242" i="5"/>
  <c r="M242" i="5"/>
  <c r="N242" i="5"/>
  <c r="O242" i="5"/>
  <c r="P242" i="5"/>
  <c r="B243" i="5"/>
  <c r="B244" i="5"/>
  <c r="B245" i="5"/>
  <c r="B246" i="5"/>
  <c r="A247" i="5"/>
  <c r="B247" i="5"/>
  <c r="A248" i="5"/>
  <c r="B248" i="5"/>
  <c r="H248" i="5"/>
  <c r="K248" i="5"/>
  <c r="L248" i="5"/>
  <c r="M248" i="5"/>
  <c r="N248" i="5"/>
  <c r="O248" i="5"/>
  <c r="P248" i="5"/>
  <c r="B249" i="5"/>
  <c r="B250" i="5"/>
  <c r="B251" i="5"/>
  <c r="B252" i="5"/>
  <c r="B253" i="5"/>
  <c r="E253" i="5"/>
  <c r="B254" i="5"/>
  <c r="B255" i="5"/>
  <c r="L256" i="5"/>
  <c r="H19" i="2" s="1"/>
  <c r="N256" i="5"/>
  <c r="F19" i="2" s="1"/>
  <c r="O256" i="5"/>
  <c r="G19" i="2" s="1"/>
  <c r="A262" i="5"/>
  <c r="A5" i="6"/>
  <c r="A6" i="6"/>
  <c r="A7" i="6"/>
  <c r="B15" i="6"/>
  <c r="A15" i="6" s="1"/>
  <c r="B16" i="6"/>
  <c r="A16" i="6" s="1"/>
  <c r="E16" i="6"/>
  <c r="B17" i="6"/>
  <c r="A17" i="6" s="1"/>
  <c r="E17" i="6"/>
  <c r="B18" i="6"/>
  <c r="A18" i="6" s="1"/>
  <c r="B19" i="6"/>
  <c r="A19" i="6" s="1"/>
  <c r="A21" i="6"/>
  <c r="B21" i="6"/>
  <c r="E22" i="6"/>
  <c r="B23" i="6"/>
  <c r="A23" i="6" s="1"/>
  <c r="E23" i="6"/>
  <c r="B24" i="6"/>
  <c r="A24" i="6" s="1"/>
  <c r="E24" i="6"/>
  <c r="B25" i="6"/>
  <c r="A25" i="6" s="1"/>
  <c r="E25" i="6"/>
  <c r="E27" i="6"/>
  <c r="B28" i="6"/>
  <c r="A28" i="6" s="1"/>
  <c r="E28" i="6"/>
  <c r="B29" i="6"/>
  <c r="A29" i="6" s="1"/>
  <c r="E29" i="6"/>
  <c r="B30" i="6"/>
  <c r="A30" i="6" s="1"/>
  <c r="E30" i="6"/>
  <c r="B31" i="6"/>
  <c r="A31" i="6" s="1"/>
  <c r="E31" i="6"/>
  <c r="A32" i="6"/>
  <c r="B32" i="6"/>
  <c r="A36" i="6"/>
  <c r="E37" i="6"/>
  <c r="A38" i="6"/>
  <c r="B38" i="6"/>
  <c r="E38" i="6"/>
  <c r="B39" i="6"/>
  <c r="A39" i="6" s="1"/>
  <c r="B42" i="6"/>
  <c r="A42" i="6" s="1"/>
  <c r="E42" i="6"/>
  <c r="B43" i="6"/>
  <c r="A43" i="6" s="1"/>
  <c r="E43" i="6"/>
  <c r="B44" i="6"/>
  <c r="A44" i="6" s="1"/>
  <c r="E44" i="6"/>
  <c r="B45" i="6"/>
  <c r="A45" i="6" s="1"/>
  <c r="E45" i="6"/>
  <c r="B46" i="6"/>
  <c r="A46" i="6" s="1"/>
  <c r="E46" i="6"/>
  <c r="B47" i="6"/>
  <c r="A47" i="6" s="1"/>
  <c r="E47" i="6"/>
  <c r="B48" i="6"/>
  <c r="A48" i="6" s="1"/>
  <c r="E48" i="6"/>
  <c r="B49" i="6"/>
  <c r="A49" i="6" s="1"/>
  <c r="L51" i="6"/>
  <c r="H20" i="2" s="1"/>
  <c r="M51" i="6"/>
  <c r="E20" i="2" s="1"/>
  <c r="N51" i="6"/>
  <c r="F20" i="2" s="1"/>
  <c r="O51" i="6"/>
  <c r="G20" i="2" s="1"/>
  <c r="P51" i="6"/>
  <c r="P8" i="6" s="1"/>
  <c r="A57" i="6"/>
  <c r="A5" i="7"/>
  <c r="A6" i="7"/>
  <c r="A7" i="7"/>
  <c r="C13" i="7"/>
  <c r="D13" i="7"/>
  <c r="E13" i="7"/>
  <c r="F13" i="7"/>
  <c r="G13" i="7"/>
  <c r="H13" i="7"/>
  <c r="I13" i="7"/>
  <c r="J13" i="7"/>
  <c r="K13" i="7"/>
  <c r="L13" i="7"/>
  <c r="M13" i="7"/>
  <c r="N13" i="7"/>
  <c r="O13" i="7"/>
  <c r="P13" i="7"/>
  <c r="B15" i="7"/>
  <c r="A15" i="7" s="1"/>
  <c r="A16" i="7"/>
  <c r="B16" i="7"/>
  <c r="A17" i="7"/>
  <c r="B17" i="7"/>
  <c r="A18" i="7"/>
  <c r="B18" i="7"/>
  <c r="A19" i="7"/>
  <c r="B19" i="7"/>
  <c r="A20" i="7"/>
  <c r="B20" i="7"/>
  <c r="A21" i="7"/>
  <c r="B21" i="7"/>
  <c r="A22" i="7"/>
  <c r="B22" i="7"/>
  <c r="A23" i="7"/>
  <c r="B23" i="7"/>
  <c r="A24" i="7"/>
  <c r="B24" i="7"/>
  <c r="A25" i="7"/>
  <c r="B25" i="7"/>
  <c r="A26" i="7"/>
  <c r="B26" i="7"/>
  <c r="A27" i="7"/>
  <c r="B27" i="7"/>
  <c r="A28" i="7"/>
  <c r="B28" i="7"/>
  <c r="A29" i="7"/>
  <c r="B29" i="7"/>
  <c r="A30" i="7"/>
  <c r="B30" i="7"/>
  <c r="A31" i="7"/>
  <c r="B31" i="7"/>
  <c r="A32" i="7"/>
  <c r="B32" i="7"/>
  <c r="A33" i="7"/>
  <c r="B33" i="7"/>
  <c r="A34" i="7"/>
  <c r="B34" i="7"/>
  <c r="A35" i="7"/>
  <c r="B35" i="7"/>
  <c r="A36" i="7"/>
  <c r="B36" i="7"/>
  <c r="A37" i="7"/>
  <c r="B37" i="7"/>
  <c r="A38" i="7"/>
  <c r="B38" i="7"/>
  <c r="A39" i="7"/>
  <c r="B39" i="7"/>
  <c r="A40" i="7"/>
  <c r="B40" i="7"/>
  <c r="A41" i="7"/>
  <c r="B41" i="7"/>
  <c r="A42" i="7"/>
  <c r="B42" i="7"/>
  <c r="A43" i="7"/>
  <c r="B43" i="7"/>
  <c r="A44" i="7"/>
  <c r="B44" i="7"/>
  <c r="A45" i="7"/>
  <c r="B45" i="7"/>
  <c r="A46" i="7"/>
  <c r="B46" i="7"/>
  <c r="A47" i="7"/>
  <c r="B47" i="7"/>
  <c r="A48" i="7"/>
  <c r="B48" i="7"/>
  <c r="A49" i="7"/>
  <c r="B49" i="7"/>
  <c r="A50" i="7"/>
  <c r="B50" i="7"/>
  <c r="A51" i="7"/>
  <c r="B51" i="7"/>
  <c r="A52" i="7"/>
  <c r="B52" i="7"/>
  <c r="A53" i="7"/>
  <c r="B53" i="7"/>
  <c r="A54" i="7"/>
  <c r="B54" i="7"/>
  <c r="A55" i="7"/>
  <c r="B55" i="7"/>
  <c r="A56" i="7"/>
  <c r="B56" i="7"/>
  <c r="A57" i="7"/>
  <c r="B57" i="7"/>
  <c r="A58" i="7"/>
  <c r="B58" i="7"/>
  <c r="A59" i="7"/>
  <c r="B59" i="7"/>
  <c r="A60" i="7"/>
  <c r="B60" i="7"/>
  <c r="A61" i="7"/>
  <c r="B61" i="7"/>
  <c r="A62" i="7"/>
  <c r="B62" i="7"/>
  <c r="A65" i="7"/>
  <c r="B65" i="7"/>
  <c r="A66" i="7"/>
  <c r="B66" i="7"/>
  <c r="A67" i="7"/>
  <c r="B67" i="7"/>
  <c r="L68" i="7"/>
  <c r="H21" i="2" s="1"/>
  <c r="M68" i="7"/>
  <c r="E21" i="2" s="1"/>
  <c r="N68" i="7"/>
  <c r="F21" i="2" s="1"/>
  <c r="O68" i="7"/>
  <c r="G21" i="2" s="1"/>
  <c r="P68" i="7"/>
  <c r="P8" i="7" s="1"/>
  <c r="A74" i="7"/>
  <c r="A5" i="8"/>
  <c r="A6" i="8"/>
  <c r="A7" i="8"/>
  <c r="C13" i="8"/>
  <c r="D13" i="8"/>
  <c r="E13" i="8"/>
  <c r="F13" i="8"/>
  <c r="G13" i="8"/>
  <c r="H13" i="8"/>
  <c r="I13" i="8"/>
  <c r="J13" i="8"/>
  <c r="K13" i="8"/>
  <c r="L13" i="8"/>
  <c r="M13" i="8"/>
  <c r="N13" i="8"/>
  <c r="O13" i="8"/>
  <c r="P13" i="8"/>
  <c r="B15" i="8"/>
  <c r="A15" i="8" s="1"/>
  <c r="B16" i="8"/>
  <c r="A16" i="8" s="1"/>
  <c r="B17" i="8"/>
  <c r="A17" i="8" s="1"/>
  <c r="B18" i="8"/>
  <c r="A18" i="8" s="1"/>
  <c r="B19" i="8"/>
  <c r="A19" i="8" s="1"/>
  <c r="B20" i="8"/>
  <c r="A20" i="8" s="1"/>
  <c r="B21" i="8"/>
  <c r="A21" i="8" s="1"/>
  <c r="B22" i="8"/>
  <c r="A22" i="8" s="1"/>
  <c r="B23" i="8"/>
  <c r="A23" i="8" s="1"/>
  <c r="B24" i="8"/>
  <c r="A24" i="8" s="1"/>
  <c r="B25" i="8"/>
  <c r="A25" i="8" s="1"/>
  <c r="B26" i="8"/>
  <c r="A26" i="8" s="1"/>
  <c r="B27" i="8"/>
  <c r="A27" i="8" s="1"/>
  <c r="B28" i="8"/>
  <c r="A28" i="8" s="1"/>
  <c r="B29" i="8"/>
  <c r="A29" i="8" s="1"/>
  <c r="B30" i="8"/>
  <c r="A30" i="8" s="1"/>
  <c r="B31" i="8"/>
  <c r="A31" i="8" s="1"/>
  <c r="B32" i="8"/>
  <c r="A32" i="8" s="1"/>
  <c r="B33" i="8"/>
  <c r="A33" i="8" s="1"/>
  <c r="B34" i="8"/>
  <c r="A34" i="8" s="1"/>
  <c r="B35" i="8"/>
  <c r="A35" i="8" s="1"/>
  <c r="B36" i="8"/>
  <c r="A36" i="8" s="1"/>
  <c r="B37" i="8"/>
  <c r="A37" i="8" s="1"/>
  <c r="A38" i="8"/>
  <c r="B38" i="8"/>
  <c r="B39" i="8"/>
  <c r="A39" i="8" s="1"/>
  <c r="B40" i="8"/>
  <c r="A40" i="8" s="1"/>
  <c r="B41" i="8"/>
  <c r="A41" i="8" s="1"/>
  <c r="B42" i="8"/>
  <c r="A42" i="8" s="1"/>
  <c r="B43" i="8"/>
  <c r="A43" i="8" s="1"/>
  <c r="B44" i="8"/>
  <c r="A44" i="8" s="1"/>
  <c r="B45" i="8"/>
  <c r="A45" i="8" s="1"/>
  <c r="B46" i="8"/>
  <c r="A46" i="8" s="1"/>
  <c r="B47" i="8"/>
  <c r="A47" i="8" s="1"/>
  <c r="B49" i="8"/>
  <c r="A49" i="8" s="1"/>
  <c r="B50" i="8"/>
  <c r="A50" i="8" s="1"/>
  <c r="L52" i="8"/>
  <c r="H22" i="2" s="1"/>
  <c r="M52" i="8"/>
  <c r="E22" i="2" s="1"/>
  <c r="N52" i="8"/>
  <c r="F22" i="2" s="1"/>
  <c r="O52" i="8"/>
  <c r="G22" i="2" s="1"/>
  <c r="P52" i="8"/>
  <c r="P8" i="8" s="1"/>
  <c r="A58" i="8"/>
  <c r="A5" i="9"/>
  <c r="A6" i="9"/>
  <c r="A7" i="9"/>
  <c r="B15" i="9"/>
  <c r="A15" i="9" s="1"/>
  <c r="B16" i="9"/>
  <c r="A16" i="9" s="1"/>
  <c r="B17" i="9"/>
  <c r="A17" i="9" s="1"/>
  <c r="B18" i="9"/>
  <c r="A18" i="9" s="1"/>
  <c r="B19" i="9"/>
  <c r="A19" i="9" s="1"/>
  <c r="B20" i="9"/>
  <c r="A20" i="9" s="1"/>
  <c r="B21" i="9"/>
  <c r="A21" i="9" s="1"/>
  <c r="B22" i="9"/>
  <c r="A22" i="9" s="1"/>
  <c r="B23" i="9"/>
  <c r="A23" i="9" s="1"/>
  <c r="B24" i="9"/>
  <c r="A24" i="9" s="1"/>
  <c r="B25" i="9"/>
  <c r="A25" i="9" s="1"/>
  <c r="B26" i="9"/>
  <c r="A26" i="9" s="1"/>
  <c r="B27" i="9"/>
  <c r="A27" i="9" s="1"/>
  <c r="B28" i="9"/>
  <c r="A28" i="9" s="1"/>
  <c r="B29" i="9"/>
  <c r="A29" i="9" s="1"/>
  <c r="B30" i="9"/>
  <c r="A30" i="9" s="1"/>
  <c r="B31" i="9"/>
  <c r="A31" i="9" s="1"/>
  <c r="B32" i="9"/>
  <c r="A32" i="9" s="1"/>
  <c r="B33" i="9"/>
  <c r="A33" i="9" s="1"/>
  <c r="B34" i="9"/>
  <c r="A34" i="9" s="1"/>
  <c r="B35" i="9"/>
  <c r="A35" i="9" s="1"/>
  <c r="B36" i="9"/>
  <c r="A36" i="9" s="1"/>
  <c r="B37" i="9"/>
  <c r="A37" i="9" s="1"/>
  <c r="B38" i="9"/>
  <c r="A38" i="9" s="1"/>
  <c r="B39" i="9"/>
  <c r="A39" i="9" s="1"/>
  <c r="B40" i="9"/>
  <c r="A40" i="9" s="1"/>
  <c r="B41" i="9"/>
  <c r="A41" i="9" s="1"/>
  <c r="B42" i="9"/>
  <c r="A42" i="9" s="1"/>
  <c r="B43" i="9"/>
  <c r="A43" i="9" s="1"/>
  <c r="B44" i="9"/>
  <c r="A44" i="9" s="1"/>
  <c r="B45" i="9"/>
  <c r="A45" i="9" s="1"/>
  <c r="B46" i="9"/>
  <c r="A46" i="9" s="1"/>
  <c r="A47" i="9"/>
  <c r="B47" i="9"/>
  <c r="B48" i="9"/>
  <c r="A48" i="9" s="1"/>
  <c r="B49" i="9"/>
  <c r="A49" i="9" s="1"/>
  <c r="B50" i="9"/>
  <c r="A50" i="9" s="1"/>
  <c r="E53" i="9"/>
  <c r="B54" i="9"/>
  <c r="A54" i="9" s="1"/>
  <c r="B55" i="9"/>
  <c r="A55" i="9" s="1"/>
  <c r="E55" i="9"/>
  <c r="B56" i="9"/>
  <c r="A56" i="9" s="1"/>
  <c r="B57" i="9"/>
  <c r="A57" i="9" s="1"/>
  <c r="B58" i="9"/>
  <c r="A58" i="9" s="1"/>
  <c r="B59" i="9"/>
  <c r="A59" i="9" s="1"/>
  <c r="B60" i="9"/>
  <c r="A60" i="9" s="1"/>
  <c r="B61" i="9"/>
  <c r="A61" i="9" s="1"/>
  <c r="A62" i="9"/>
  <c r="B62" i="9"/>
  <c r="B63" i="9"/>
  <c r="A63" i="9" s="1"/>
  <c r="E63" i="9"/>
  <c r="B64" i="9"/>
  <c r="A64" i="9" s="1"/>
  <c r="E64" i="9"/>
  <c r="B65" i="9"/>
  <c r="A65" i="9" s="1"/>
  <c r="E65" i="9"/>
  <c r="B66" i="9"/>
  <c r="A66" i="9" s="1"/>
  <c r="E66" i="9"/>
  <c r="B67" i="9"/>
  <c r="A67" i="9" s="1"/>
  <c r="E67" i="9"/>
  <c r="B68" i="9"/>
  <c r="A68" i="9" s="1"/>
  <c r="E68" i="9"/>
  <c r="B69" i="9"/>
  <c r="A69" i="9" s="1"/>
  <c r="B70" i="9"/>
  <c r="A70" i="9" s="1"/>
  <c r="B71" i="9"/>
  <c r="A71" i="9" s="1"/>
  <c r="B72" i="9"/>
  <c r="A72" i="9" s="1"/>
  <c r="B73" i="9"/>
  <c r="A73" i="9" s="1"/>
  <c r="B74" i="9"/>
  <c r="A74" i="9" s="1"/>
  <c r="B75" i="9"/>
  <c r="A75" i="9" s="1"/>
  <c r="L76" i="9"/>
  <c r="H23" i="2" s="1"/>
  <c r="M76" i="9"/>
  <c r="E23" i="2" s="1"/>
  <c r="N76" i="9"/>
  <c r="F23" i="2" s="1"/>
  <c r="O76" i="9"/>
  <c r="G23" i="2" s="1"/>
  <c r="P76" i="9"/>
  <c r="P8" i="9" s="1"/>
  <c r="A82" i="9"/>
  <c r="A5" i="10"/>
  <c r="A6" i="10"/>
  <c r="A7" i="10"/>
  <c r="B15" i="10"/>
  <c r="A15" i="10" s="1"/>
  <c r="B16" i="10"/>
  <c r="A16" i="10" s="1"/>
  <c r="E16" i="10"/>
  <c r="B17" i="10"/>
  <c r="A17" i="10" s="1"/>
  <c r="E17" i="10"/>
  <c r="B18" i="10"/>
  <c r="A18" i="10" s="1"/>
  <c r="E18" i="10"/>
  <c r="B19" i="10"/>
  <c r="A19" i="10" s="1"/>
  <c r="E19" i="10"/>
  <c r="B20" i="10"/>
  <c r="A20" i="10" s="1"/>
  <c r="E20" i="10"/>
  <c r="B21" i="10"/>
  <c r="A21" i="10" s="1"/>
  <c r="E21" i="10"/>
  <c r="B22" i="10"/>
  <c r="A22" i="10" s="1"/>
  <c r="E22" i="10"/>
  <c r="A23" i="10"/>
  <c r="B23" i="10"/>
  <c r="B24" i="10"/>
  <c r="A24" i="10" s="1"/>
  <c r="B25" i="10"/>
  <c r="A25" i="10" s="1"/>
  <c r="B26" i="10"/>
  <c r="A26" i="10" s="1"/>
  <c r="B27" i="10"/>
  <c r="A27" i="10" s="1"/>
  <c r="B28" i="10"/>
  <c r="A28" i="10" s="1"/>
  <c r="B29" i="10"/>
  <c r="A29" i="10" s="1"/>
  <c r="B30" i="10"/>
  <c r="A30" i="10" s="1"/>
  <c r="A31" i="10"/>
  <c r="B31" i="10"/>
  <c r="B32" i="10"/>
  <c r="A32" i="10" s="1"/>
  <c r="B33" i="10"/>
  <c r="A33" i="10" s="1"/>
  <c r="E33" i="10"/>
  <c r="B34" i="10"/>
  <c r="A34" i="10" s="1"/>
  <c r="E34" i="10"/>
  <c r="B35" i="10"/>
  <c r="A35" i="10" s="1"/>
  <c r="B36" i="10"/>
  <c r="A36" i="10" s="1"/>
  <c r="B37" i="10"/>
  <c r="A37" i="10" s="1"/>
  <c r="B38" i="10"/>
  <c r="A38" i="10" s="1"/>
  <c r="B39" i="10"/>
  <c r="A39" i="10" s="1"/>
  <c r="B40" i="10"/>
  <c r="A40" i="10" s="1"/>
  <c r="E40" i="10"/>
  <c r="E39" i="10" s="1"/>
  <c r="B41" i="10"/>
  <c r="A41" i="10" s="1"/>
  <c r="B42" i="10"/>
  <c r="A42" i="10" s="1"/>
  <c r="E42" i="10"/>
  <c r="B43" i="10"/>
  <c r="A43" i="10" s="1"/>
  <c r="B44" i="10"/>
  <c r="A44" i="10" s="1"/>
  <c r="A45" i="10"/>
  <c r="B45" i="10"/>
  <c r="B46" i="10"/>
  <c r="A46" i="10" s="1"/>
  <c r="B47" i="10"/>
  <c r="A47" i="10" s="1"/>
  <c r="E47" i="10"/>
  <c r="B48" i="10"/>
  <c r="A48" i="10" s="1"/>
  <c r="E48" i="10"/>
  <c r="B49" i="10"/>
  <c r="A49" i="10" s="1"/>
  <c r="E49" i="10"/>
  <c r="B50" i="10"/>
  <c r="A50" i="10" s="1"/>
  <c r="B51" i="10"/>
  <c r="A51" i="10" s="1"/>
  <c r="B52" i="10"/>
  <c r="A52" i="10" s="1"/>
  <c r="B53" i="10"/>
  <c r="A53" i="10" s="1"/>
  <c r="B54" i="10"/>
  <c r="A54" i="10" s="1"/>
  <c r="E54" i="10"/>
  <c r="B55" i="10"/>
  <c r="A55" i="10" s="1"/>
  <c r="E55" i="10"/>
  <c r="B56" i="10"/>
  <c r="A56" i="10" s="1"/>
  <c r="A57" i="10"/>
  <c r="B57" i="10"/>
  <c r="A64" i="10"/>
  <c r="M239" i="5" l="1"/>
  <c r="M240" i="5"/>
  <c r="P240" i="5" s="1"/>
  <c r="N9" i="7"/>
  <c r="N9" i="10"/>
  <c r="N9" i="9"/>
  <c r="N9" i="6"/>
  <c r="L58" i="10"/>
  <c r="H24" i="2" s="1"/>
  <c r="H26" i="2" s="1"/>
  <c r="E12" i="2" s="1"/>
  <c r="N58" i="10"/>
  <c r="F24" i="2" s="1"/>
  <c r="F26" i="2" s="1"/>
  <c r="O58" i="10"/>
  <c r="G24" i="2" s="1"/>
  <c r="G26" i="2" s="1"/>
  <c r="D23" i="2"/>
  <c r="D22" i="2"/>
  <c r="D21" i="2"/>
  <c r="D20" i="2"/>
  <c r="B230" i="5"/>
  <c r="B219" i="5"/>
  <c r="B209" i="5"/>
  <c r="B198" i="5"/>
  <c r="B188" i="5"/>
  <c r="B181" i="5"/>
  <c r="B178" i="5"/>
  <c r="B168" i="5"/>
  <c r="B158" i="5"/>
  <c r="B107" i="5"/>
  <c r="D18" i="2"/>
  <c r="D17" i="2"/>
  <c r="M256" i="5" l="1"/>
  <c r="E19" i="2" s="1"/>
  <c r="D19" i="2" s="1"/>
  <c r="P239" i="5"/>
  <c r="P256" i="5" s="1"/>
  <c r="P8" i="5" s="1"/>
  <c r="A109" i="5"/>
  <c r="A110" i="5"/>
  <c r="A111" i="5"/>
  <c r="A112" i="5"/>
  <c r="A119" i="5"/>
  <c r="A121" i="5"/>
  <c r="A124" i="5"/>
  <c r="A127" i="5"/>
  <c r="A128" i="5" s="1"/>
  <c r="A131" i="5"/>
  <c r="A132" i="5" s="1"/>
  <c r="A133" i="5" s="1"/>
  <c r="A134" i="5" s="1"/>
  <c r="A135" i="5" s="1"/>
  <c r="A138" i="5"/>
  <c r="A139" i="5" s="1"/>
  <c r="A142" i="5"/>
  <c r="A143" i="5" s="1"/>
  <c r="A146" i="5"/>
  <c r="A147" i="5" s="1"/>
  <c r="A150" i="5"/>
  <c r="A154" i="5"/>
  <c r="A155" i="5"/>
  <c r="A156" i="5"/>
  <c r="A157" i="5"/>
  <c r="A159" i="5"/>
  <c r="A160" i="5"/>
  <c r="A161" i="5"/>
  <c r="A162" i="5"/>
  <c r="A164" i="5"/>
  <c r="A165" i="5"/>
  <c r="A166" i="5"/>
  <c r="A167" i="5"/>
  <c r="A169" i="5"/>
  <c r="A170" i="5"/>
  <c r="A171" i="5"/>
  <c r="A174" i="5"/>
  <c r="A175" i="5"/>
  <c r="A176" i="5"/>
  <c r="A177" i="5"/>
  <c r="A179" i="5"/>
  <c r="A180" i="5"/>
  <c r="A184" i="5"/>
  <c r="A185" i="5"/>
  <c r="A186" i="5"/>
  <c r="A187" i="5"/>
  <c r="A189" i="5"/>
  <c r="A190" i="5"/>
  <c r="A191" i="5"/>
  <c r="A194" i="5"/>
  <c r="A195" i="5"/>
  <c r="A196" i="5"/>
  <c r="A197" i="5"/>
  <c r="A199" i="5"/>
  <c r="A200" i="5"/>
  <c r="A204" i="5"/>
  <c r="A205" i="5"/>
  <c r="A206" i="5"/>
  <c r="A207" i="5"/>
  <c r="A208" i="5"/>
  <c r="A210" i="5"/>
  <c r="A211" i="5"/>
  <c r="A215" i="5"/>
  <c r="A216" i="5"/>
  <c r="A217" i="5"/>
  <c r="A218" i="5"/>
  <c r="A220" i="5"/>
  <c r="A221" i="5"/>
  <c r="A222" i="5"/>
  <c r="A225" i="5"/>
  <c r="A226" i="5"/>
  <c r="A227" i="5"/>
  <c r="A228" i="5"/>
  <c r="A229" i="5"/>
  <c r="A231" i="5"/>
  <c r="A232" i="5"/>
  <c r="A233" i="5"/>
  <c r="A237" i="5"/>
  <c r="A239" i="5"/>
  <c r="A240" i="5"/>
  <c r="A243" i="5"/>
  <c r="A244" i="5" s="1"/>
  <c r="A245" i="5"/>
  <c r="A246" i="5"/>
  <c r="A249" i="5"/>
  <c r="A250" i="5"/>
  <c r="A251" i="5"/>
  <c r="A252" i="5"/>
  <c r="A253" i="5"/>
  <c r="A254" i="5"/>
  <c r="A230" i="5"/>
  <c r="A219" i="5"/>
  <c r="A209" i="5"/>
  <c r="A198" i="5"/>
  <c r="A188" i="5"/>
  <c r="A181" i="5"/>
  <c r="A178" i="5"/>
  <c r="A168" i="5"/>
  <c r="A158" i="5"/>
  <c r="A107" i="5"/>
  <c r="P58" i="10"/>
  <c r="P8" i="10" s="1"/>
  <c r="M58" i="10"/>
  <c r="E24" i="2" s="1"/>
  <c r="D24" i="2" l="1"/>
  <c r="D26" i="2" s="1"/>
  <c r="E26" i="2"/>
  <c r="D27" i="2" l="1"/>
  <c r="D28" i="2" s="1"/>
  <c r="D29" i="2"/>
  <c r="D30" i="2" l="1"/>
  <c r="E11" i="2" s="1"/>
  <c r="C18" i="1" l="1"/>
  <c r="C20" i="1" s="1"/>
</calcChain>
</file>

<file path=xl/sharedStrings.xml><?xml version="1.0" encoding="utf-8"?>
<sst xmlns="http://schemas.openxmlformats.org/spreadsheetml/2006/main" count="1186" uniqueCount="458">
  <si>
    <t>Būvniecības koptāme</t>
  </si>
  <si>
    <t>Objekta nosaukums: Slaucamo govju kūts jaunbūve īpašumā
"Vecsašava"</t>
  </si>
  <si>
    <t>Objekta adrese: Īpašums "Vecsašava", Mālupes pagasts,
Alūksnes novads</t>
  </si>
  <si>
    <t>Pasūtītājs: Z/S "Jaunceriņi"</t>
  </si>
  <si>
    <t>Nr.   p.k.</t>
  </si>
  <si>
    <t>Objekta nosaukums</t>
  </si>
  <si>
    <t>Objekta izmaksas, €</t>
  </si>
  <si>
    <t>Slaucamo govju kūts jaunbūve īpašumā
"Vecsašava"</t>
  </si>
  <si>
    <t>Kopā bez PVN:</t>
  </si>
  <si>
    <t>Sastādīja</t>
  </si>
  <si>
    <t>(paraksts un tā atšifrējums, datums)</t>
  </si>
  <si>
    <t>Sertifikāta nr.</t>
  </si>
  <si>
    <t>DOKUMENTS PARAKSTĪTS AR DROŠU ELEKTRONISKO PARAKSTU UN SATUR LAIKA ZĪMOGU</t>
  </si>
  <si>
    <t>Kopsavilkums Nr. 1</t>
  </si>
  <si>
    <t>Par kopējo summu, EUR</t>
  </si>
  <si>
    <t>Kopējā darbietilpība, c/h</t>
  </si>
  <si>
    <t>Nr.
p.k.</t>
  </si>
  <si>
    <t>Kods,
 tāmes Nr.</t>
  </si>
  <si>
    <t>Darba veids vai
 konstruktīvā 
elementa nosaukums</t>
  </si>
  <si>
    <t xml:space="preserve">Tāmes izmaksas </t>
  </si>
  <si>
    <t>Tai skaitā</t>
  </si>
  <si>
    <t>Darb-
ietilpība
 (c/h)</t>
  </si>
  <si>
    <t>darba alga</t>
  </si>
  <si>
    <t>būvizstrādājumi</t>
  </si>
  <si>
    <t>mehā-
nismi</t>
  </si>
  <si>
    <t>1-1</t>
  </si>
  <si>
    <t>Būvlaukuma izmaksas</t>
  </si>
  <si>
    <t>1-2</t>
  </si>
  <si>
    <t>Zemes darbi</t>
  </si>
  <si>
    <t>1-3</t>
  </si>
  <si>
    <t>Slaucamo govju kūts un šķidrmēslu krātuves izbūve</t>
  </si>
  <si>
    <t>1-4</t>
  </si>
  <si>
    <t>Teritorijas labiekārtošana</t>
  </si>
  <si>
    <t>1-5</t>
  </si>
  <si>
    <t>Iekšējā elektroapgāde</t>
  </si>
  <si>
    <t>1-6</t>
  </si>
  <si>
    <t>Ārējā elektroapgāde</t>
  </si>
  <si>
    <t>1-7</t>
  </si>
  <si>
    <t>Iekšējā ūdensapgāde, kanalizācija</t>
  </si>
  <si>
    <t>1-8</t>
  </si>
  <si>
    <t>Ārējā ūdensapgāde, kanalizācija</t>
  </si>
  <si>
    <t>Kopā:</t>
  </si>
  <si>
    <t>t.sk. darba aizsardzība %</t>
  </si>
  <si>
    <t>Projekta dokumentācijas komplekts sastāv no projekta rasējumiem un specifikācijas. Būvuzņēmējs dod pilna apjoma tendera cenu piedāvājumu ieskaitot darbus un materiālus, kas nav uzrādīti projektā,bet ir nepieciešami projektēto sistēmu montāžai, palaišanai un nodošanai.</t>
  </si>
  <si>
    <t xml:space="preserve">Pārbaudīja      </t>
  </si>
  <si>
    <t>Lokālā tāme Nr.1-1</t>
  </si>
  <si>
    <t>(būvdarbu veids vai konstruktīvā elementa nosaukums)</t>
  </si>
  <si>
    <t>Tāmes  izmaksas euro</t>
  </si>
  <si>
    <t>N.p.k.</t>
  </si>
  <si>
    <t>Kods</t>
  </si>
  <si>
    <t>Būvdarbu nosaukums</t>
  </si>
  <si>
    <t>Mērvienības</t>
  </si>
  <si>
    <t>Daudzums</t>
  </si>
  <si>
    <t>Vienības izmaksas</t>
  </si>
  <si>
    <t>Kopā uz visu apjomu</t>
  </si>
  <si>
    <t>Laika norma c/h</t>
  </si>
  <si>
    <r>
      <t xml:space="preserve">Darba apmaksas likme, </t>
    </r>
    <r>
      <rPr>
        <sz val="9"/>
        <rFont val="Arial"/>
        <family val="2"/>
        <charset val="1"/>
      </rPr>
      <t>euro</t>
    </r>
    <r>
      <rPr>
        <i/>
        <sz val="9"/>
        <rFont val="Arial"/>
        <family val="2"/>
        <charset val="1"/>
      </rPr>
      <t xml:space="preserve">/hDarba apmaksas likme, </t>
    </r>
    <r>
      <rPr>
        <sz val="9"/>
        <rFont val="Arial"/>
        <family val="2"/>
        <charset val="1"/>
      </rPr>
      <t>euro</t>
    </r>
    <r>
      <rPr>
        <i/>
        <sz val="9"/>
        <rFont val="Arial"/>
        <family val="2"/>
        <charset val="1"/>
      </rPr>
      <t>/h</t>
    </r>
  </si>
  <si>
    <t xml:space="preserve">Darba alga </t>
  </si>
  <si>
    <t xml:space="preserve">Mehānismi </t>
  </si>
  <si>
    <t xml:space="preserve">Kopā, </t>
  </si>
  <si>
    <t>Darbietilpība c/h</t>
  </si>
  <si>
    <t xml:space="preserve">Summa </t>
  </si>
  <si>
    <t>Būvlaukuma sagatavošana</t>
  </si>
  <si>
    <t>l.c.</t>
  </si>
  <si>
    <t>Pagaidu nožogojuma ierīkošana</t>
  </si>
  <si>
    <t>m</t>
  </si>
  <si>
    <t>Pagaidu žoga noma</t>
  </si>
  <si>
    <t xml:space="preserve">Divviru vārti </t>
  </si>
  <si>
    <t>gab</t>
  </si>
  <si>
    <t>Būvlaukuma apsardze</t>
  </si>
  <si>
    <t>mēneši</t>
  </si>
  <si>
    <t>Ugunsdzēsības stends</t>
  </si>
  <si>
    <t>Modulis būvdarbu vadītājam, uzstādīšana, demontāža īre- pārvietojams konteinera tipa 1 gab. 6x2,5m</t>
  </si>
  <si>
    <t>Darbinieku moduļa uzstādīšana, demontāža, īre-  pārvietojama konteinera tipa 1 gab. 6x2,5m</t>
  </si>
  <si>
    <t>Materiālu un inventāra moduļa uzstādīšana, īre, demontāža- pārvietojama konteinera tipa 1 gab. 6x2,5m</t>
  </si>
  <si>
    <t>Būvgružu konteinera uzstādīšana, demontāža un īre 1 gab. 6x3,1m</t>
  </si>
  <si>
    <t xml:space="preserve">Sarga moduļa uzstādīšana, demontāža, īre 1gab. 3x2,5m </t>
  </si>
  <si>
    <t>Biotualete-uzstādīšana, īre-1gab. Pārvietojama 1,65x1,65m</t>
  </si>
  <si>
    <t xml:space="preserve">Pagaidu ceļi un laukumi </t>
  </si>
  <si>
    <t>kompl.</t>
  </si>
  <si>
    <t>Būvtāfeles uzstādīšana</t>
  </si>
  <si>
    <t>Elektro pagaidu ņemšanas vietas ierīkošana</t>
  </si>
  <si>
    <t>Maksa par elektroenerģiju</t>
  </si>
  <si>
    <t>Dežūrapgaismojums</t>
  </si>
  <si>
    <t>Pagaidu ūdens ņemšanas vietas ierīkošan</t>
  </si>
  <si>
    <t>Maksa par ūdeni</t>
  </si>
  <si>
    <t>Tiešās izmaksas kopā, t.sk. Darba devēja sociālais nodoklis 23,59 (%)</t>
  </si>
  <si>
    <t xml:space="preserve">Pārbaudīja   </t>
  </si>
  <si>
    <t>Lokālā tāme Nr.1-2</t>
  </si>
  <si>
    <r>
      <t xml:space="preserve">Darba apmaksas likme, </t>
    </r>
    <r>
      <rPr>
        <sz val="9"/>
        <rFont val="Arial"/>
        <family val="2"/>
        <charset val="1"/>
      </rPr>
      <t>euro</t>
    </r>
    <r>
      <rPr>
        <i/>
        <sz val="9"/>
        <rFont val="Arial"/>
        <family val="2"/>
        <charset val="1"/>
      </rPr>
      <t>/h</t>
    </r>
  </si>
  <si>
    <t>Govju kūts</t>
  </si>
  <si>
    <t>l.c</t>
  </si>
  <si>
    <t xml:space="preserve">Virskārtas norakšana 40cm un izvešana uz pasūtītāja norādītu atbērtni </t>
  </si>
  <si>
    <t>m3</t>
  </si>
  <si>
    <t xml:space="preserve">Būvbedres rakšana, un grunts iekraušana pašizgāzējos ( zem pamatiem, grīdas), liekās grunts izvešana </t>
  </si>
  <si>
    <t>Pamatu aizbēršana ar esošo grunti, blietējot pa kārtām</t>
  </si>
  <si>
    <t>Būvbedres planēšana pēc augstuma atzīmēm</t>
  </si>
  <si>
    <t>kompl</t>
  </si>
  <si>
    <t>Ceļi, laukumi</t>
  </si>
  <si>
    <t>Virskārtas norakšana, to novietojot būvlaukuma malā uzglabāšanai b=40cm</t>
  </si>
  <si>
    <t>Jaunā grāvja izrakšana (nogāžu slīpums 1:1 - 1:1.5)</t>
  </si>
  <si>
    <t xml:space="preserve">m </t>
  </si>
  <si>
    <t>Ugunsdzēsības dīķis</t>
  </si>
  <si>
    <t xml:space="preserve">Dīķa rakšana, un grunts iekraušana pašizgāzējos ( zem pamatiem, grīdas), liekās grunts izvešana </t>
  </si>
  <si>
    <t>Lokālā tāme Nr.1-3</t>
  </si>
  <si>
    <t>Pamatu izbūve</t>
  </si>
  <si>
    <t>Būvasu nospraušana</t>
  </si>
  <si>
    <t>kpl</t>
  </si>
  <si>
    <t>Pamatu pēda P-1</t>
  </si>
  <si>
    <t>gb</t>
  </si>
  <si>
    <t>Šķembu slāņa blietēšana 200mm</t>
  </si>
  <si>
    <t>Šķembas ar piegādi</t>
  </si>
  <si>
    <t>Stiegrojuma uzstādīšana , ieskaitot distancerus</t>
  </si>
  <si>
    <t>kg</t>
  </si>
  <si>
    <t>Vītņstieņu M20 8.8 uzstādīšana</t>
  </si>
  <si>
    <t>Veidņu montāža, demontāža, noma</t>
  </si>
  <si>
    <t>m2</t>
  </si>
  <si>
    <t>Betons C30/37 XC2 ar piegādi un sūknēšanu</t>
  </si>
  <si>
    <t>Pamatu pēda P-2</t>
  </si>
  <si>
    <t>Pamatu pēda P-3</t>
  </si>
  <si>
    <t>Pamatu pēda P-4</t>
  </si>
  <si>
    <t>Pamatu pēda P-5</t>
  </si>
  <si>
    <t>Pamatu pēda P-6</t>
  </si>
  <si>
    <t>Lentveida pamati LP-1</t>
  </si>
  <si>
    <t>Cokolpaneļi</t>
  </si>
  <si>
    <t>Sienas S-3. Trīsslāņu cokolpaneļi ar piegādi un montāžu b=260mm (100mm betons+100mm siltumizolācija+80mm betons)</t>
  </si>
  <si>
    <t>Sienas S-12. Vienslāņu cokolpaneļi ar piegādi un montāžu (b=150mm betons)</t>
  </si>
  <si>
    <t>Horizontālās hidroizolācijas izveide (starp cokolu un koka brusu)</t>
  </si>
  <si>
    <t xml:space="preserve">Skārda lāseņu montāža </t>
  </si>
  <si>
    <t>Ēkas apmale</t>
  </si>
  <si>
    <t xml:space="preserve">Grunts blietēšana </t>
  </si>
  <si>
    <t>Ekstrudēta horizontāla putupolistirola montāža pa ēkas perimetru XPS 100mm</t>
  </si>
  <si>
    <t>Drenējošas smilts slānis virs putupolistirola h=200mm</t>
  </si>
  <si>
    <t>Blietētu šķembu slānis 100mm, fr. 20-40mm</t>
  </si>
  <si>
    <t>Metāla konstrukcija</t>
  </si>
  <si>
    <t>KMD izstrāde</t>
  </si>
  <si>
    <t>Metāla konstrukciju izgatavošana, tai skaitā vēja saites un palīgmateriāli (metīziem ir paredzēti 20%)</t>
  </si>
  <si>
    <t xml:space="preserve">Metāla konstrukciju tīrīšana ar smilšu strūklu līdz Sa2 tīrības pakāpei atbilstoši ISO 8501-1, karstā cinkošana </t>
  </si>
  <si>
    <t>Metāla konstrukciju piegāde līdz objektam un montāža ieskaitot skrūves un paplāksnes, montāžas materiālus</t>
  </si>
  <si>
    <t>Metāla kolonnu nosegšana ar bitumenu no pamata pēdas līdz min 100mm augstumā virs grīdas līmeņa</t>
  </si>
  <si>
    <t>Metāla kolonnu apakšējās daļas apbetonēšana ar bezrukuma javu</t>
  </si>
  <si>
    <t>Tērauda saišu  d15mm (klase S355J2) uzstādīšana</t>
  </si>
  <si>
    <t>Jumta koka konstrukcijas</t>
  </si>
  <si>
    <t>Koka spāres</t>
  </si>
  <si>
    <t>GL 28h koka konstrukciju izgatavošana (spāres 560*140mm)</t>
  </si>
  <si>
    <t>GL 28h koka konstrukciju izgatavošana (spāres 400*140mm)</t>
  </si>
  <si>
    <t xml:space="preserve">Koka konstrukcijas impregnēšana , C3 vides klase </t>
  </si>
  <si>
    <t>Koka konstrukciju montāža, ieskaitot montāžas materiālus</t>
  </si>
  <si>
    <t>Kopturi</t>
  </si>
  <si>
    <t>Konstrukciju izgatavošana (kopturi 225*80mm) C24</t>
  </si>
  <si>
    <t>GL 28h koka konstrukciju izgatavošana (kopturi 240*100mm)</t>
  </si>
  <si>
    <t>GL 28h koka konstrukciju izgatavošana (kopturi 240*140mm)</t>
  </si>
  <si>
    <t>Koka kopturu impregnēšana, C3 vides klase</t>
  </si>
  <si>
    <t>Koka kopturu montāža, tai skaitā brusu kurpes C3 vides klase</t>
  </si>
  <si>
    <t>Koka sijas (aizkariem, fasādes stiprināšanai)</t>
  </si>
  <si>
    <t>Koka siju izgatavošana un piegāde līdz objektam</t>
  </si>
  <si>
    <t>Koka siju impregnēšana zem spiediena C3 vides klase</t>
  </si>
  <si>
    <t>Koka siju montāža, ieskaitot stiprinājumus</t>
  </si>
  <si>
    <t>Jumts</t>
  </si>
  <si>
    <t>J1. Jumta sendvičpaneļu PIR 60/100mm montāža (bez atgriezumiem)</t>
  </si>
  <si>
    <t>Vējmalas no skārda</t>
  </si>
  <si>
    <t>Kores ventilācijas lūkas izbūve</t>
  </si>
  <si>
    <t>Jumta kores montāža</t>
  </si>
  <si>
    <t>Sienas un starpsienas</t>
  </si>
  <si>
    <t>Sienas S-01</t>
  </si>
  <si>
    <t>Sienu sendvičpaneļu 100mm montāža (PIR slānis), ieskaitot noseglementus, stiprinājumus un nepieciešamus palīgmateriālus</t>
  </si>
  <si>
    <t>Sienas S-1.2</t>
  </si>
  <si>
    <t>Sienu sendvičpaneļu 80mm montāža (PIR slānis), ieskaitot noseglementus, stiprinājumus un nepieciešamus palīgmateriālus</t>
  </si>
  <si>
    <t>Sienas S-02</t>
  </si>
  <si>
    <t>Šūnu polikarbonāta paneļu (makrolon) montāža</t>
  </si>
  <si>
    <t>Sienas S-04</t>
  </si>
  <si>
    <t>Sienu S-04 mūrēšana no dobtajiem betona blokiem b=190mm, ieskaitot mūrjavu, stiegras un sienu izšuvošanu</t>
  </si>
  <si>
    <t>Bloku aizbetonēšana ar betonu C25/30, ieskaitot stiegrojuma uzstādīšanu</t>
  </si>
  <si>
    <t>Sienas S-6</t>
  </si>
  <si>
    <t>Sienu S-6 mūrēšana no Fibo blokiem b=150mm, ieskaitot mūrjavu, stiegras</t>
  </si>
  <si>
    <t>Mūra sienu gruntēšana, apmešana</t>
  </si>
  <si>
    <t>Mura sienu gruntēšana, krāsošana</t>
  </si>
  <si>
    <t>Sienu hidroizolacija (divās kārtās krāsojamā hidroizolācija)</t>
  </si>
  <si>
    <t>Sienu flīzēšana, izšuvošana</t>
  </si>
  <si>
    <t>Sienas S-7</t>
  </si>
  <si>
    <t>Sienu S-7 mūrēšana no Fibo blokiem b=150mm, ieskaitot mūrjavu, stiegras un ieskaitot sienu izšuvošanu</t>
  </si>
  <si>
    <t>Mura sienu gruntēšana, krāsošana ar epoksīdkrāsu</t>
  </si>
  <si>
    <t>Sienas S-8</t>
  </si>
  <si>
    <t>Sienu S-8 mūrēšana no Fibo blokiem b=200mm, ieskaitot mūrjavu, stiegras un ieskaitot sienu izšuvošanu</t>
  </si>
  <si>
    <t>Sienas S-9</t>
  </si>
  <si>
    <t>Sienu S-9 mūrēšana no dobtajiem betona blokiem b=190mm, ieskaitot mūrjavu, stiegras un sienu izšuvošanu</t>
  </si>
  <si>
    <t>Sienas S-11</t>
  </si>
  <si>
    <t>Sienu S-11 stiegrošanas, veidņošana, betonēšana b=220mm</t>
  </si>
  <si>
    <t>Grīdas</t>
  </si>
  <si>
    <t>Grīda G-01</t>
  </si>
  <si>
    <t>Blietēts, drenējošs smilšu slānis 300mm</t>
  </si>
  <si>
    <t>Blietēts šķembu slānis (200mm) fr.0-45mm</t>
  </si>
  <si>
    <t>PVC plēve, 0.2mm</t>
  </si>
  <si>
    <t xml:space="preserve">Grīdas stiegrošana ar armatūras sietu, B500B 8/8/200/200 tai skaitā distanceri </t>
  </si>
  <si>
    <t>Grīdu betonēšana ar piegādi un sūknēšanu (betons C30/37 xc2 140mm)</t>
  </si>
  <si>
    <t>Betons C30/37 xc2</t>
  </si>
  <si>
    <t>Slīpēta betona virsma ar grīdas cietinātāju
un epoksīda pārklājumuSlīpēta betona virsma ar grīdas cietinātāju
un epoksīda pārklājumuSlīpēta betona virsma ar grīdas cietinātāju
un epoksīda pārklājumuSlīpēta betona virsma ar grīdas cietinātāju
un epoksīda pārklājumuSlīpēta betona virsma ar grīdas cietinātāju
un epoksīda pārklājumuSlīpēta betona virsma ar grīdas cietinātāju
un epoksīda pārklājumu</t>
  </si>
  <si>
    <t>Epoksīda pārklājums</t>
  </si>
  <si>
    <t>Grīda G-2</t>
  </si>
  <si>
    <t xml:space="preserve">Grīdas stiegrošana ar armatūras sietu, B500B 6/6/200/200 tai skaitā distanceri </t>
  </si>
  <si>
    <t>Grīdu betonēšana ar piegādi un sūknēšanu (betons C25/30 xc2 100mm)</t>
  </si>
  <si>
    <t>Betons C25/30 xc2</t>
  </si>
  <si>
    <t>Garenvirzienā un diagonāli rievota betona virsma</t>
  </si>
  <si>
    <t>Grīda G-3</t>
  </si>
  <si>
    <t>Grīdu betonēšana ar piegādi un sūknēšanu (betons C25/30 xc2 80mm)</t>
  </si>
  <si>
    <t xml:space="preserve">Betona virsmas slīpēšana </t>
  </si>
  <si>
    <t>Grīda G-4</t>
  </si>
  <si>
    <t>Kvadrātu veidā rievota betona virsma</t>
  </si>
  <si>
    <t>Grīda G-5</t>
  </si>
  <si>
    <t>Grīdu betonēšana ar piegādi un sūknēšanu (betons C30/37 xc2 100mm)</t>
  </si>
  <si>
    <t>Betons C30/37 xc2 b=100mm</t>
  </si>
  <si>
    <t>Grīda G-6</t>
  </si>
  <si>
    <t xml:space="preserve">Siltumizolācijas ieklāšana b=100mm </t>
  </si>
  <si>
    <t>Grīdu betonēšana ar piegādi un sūknēšanu (betons C25/30 XC2 100mm)</t>
  </si>
  <si>
    <t>Grīda G-7</t>
  </si>
  <si>
    <t xml:space="preserve">Gluda betona virsma </t>
  </si>
  <si>
    <t>Grīda G-8</t>
  </si>
  <si>
    <t>Grīdu flīzēšana, izšuvošana</t>
  </si>
  <si>
    <t>Logi, durvis, vārti, aizkari</t>
  </si>
  <si>
    <t>Logi</t>
  </si>
  <si>
    <t>PVC logu L-1 1200*1200mm uzstādīšana (PVC logs. 2 stiklu pakete ar selektīvo
pārklājumu. Vērtnes atvēršana uz iekšu 3
stāvokļos (mikroventilācija, atvāžams,
atverams). Vērtnes blīva fiksācija pa
perimetru pie rāmja.)PVC logu L-1 1200*1200mm uzstādīšana (PVC logs. 2 stiklu pakete ar selektīvo
pārklājumu. Vērtnes atvēršana uz iekšu 3
stāvokļos (mikroventilācija, atvāžams,
atverams). Vērtnes blīva fiksācija pa
perimetru pie rāmja.)</t>
  </si>
  <si>
    <t>Aizkari</t>
  </si>
  <si>
    <t>PVC aizkaru A-1 izgatavošana, montāža 2845*30000mm</t>
  </si>
  <si>
    <t>PVC aizkaru A-2 izgatavošana, montāža 3415*40140mm</t>
  </si>
  <si>
    <t>Durvis</t>
  </si>
  <si>
    <t>PVC ārdurvuju AD-1 uztādīšana, 900*2200mm, ieskaitot durvju slieksni un durvju furnitŗuu</t>
  </si>
  <si>
    <t>PVC iekšdurvuju D-01 uztādīšana, 900*2100mm, ieskaitot durvju slieksni un durvju furnitŗuu</t>
  </si>
  <si>
    <t>PVC iekšdurvuju D-02 uztādīšana, 800*2100mm, ieskaitot durvju slieksni un durvju furnitŗuu</t>
  </si>
  <si>
    <t>PVC iekšdurvuju D-03 uztādīšana, 1000*2100mm, ieskaitot durvju slieksni un durvju furnitŗuu</t>
  </si>
  <si>
    <t>Vārti</t>
  </si>
  <si>
    <t>V-1 3400x3940  Vārti ar blīvējošām apmalēm, bez sliekšņa, sekciju virsma - stucco reljefs. Manuāla
pacelšana ar aizbīdni iekšpusē. Visi stiprinājumi no nerūsējošā tērauda.</t>
  </si>
  <si>
    <t>V-2 3200x3440 Vārti ar blīvējošām apmalēm, bez sliekšņa, sekciju virsma - stucco reljefs. Manuāla
pacelšana ar aizbīdni iekšpusē. Visi stiprinājumi no nerūsējošā tērauda.</t>
  </si>
  <si>
    <t>V-3 3200x2800 Vārti ar blīvējošām apmalēm, bez sliekšņa, sekciju virsma - stucco reljefs. Manuāla
pacelšana ar aizbīdni iekšpusē. Visi stiprinājumi no nerūsējošā tērauda.</t>
  </si>
  <si>
    <t>V-4 2200x2200 Divviru vārti ar slēdzeni. Vārtu atvēršana uz ārpusi (Vertikāli paceļami sekcijtipa metāla vārti)</t>
  </si>
  <si>
    <t>Vārtu ailu apšuvums ar skārdu</t>
  </si>
  <si>
    <t>Tērauda kolonnu apbetonēšana 1,5m augstumā, apbetonējuma kārtas biezums 100mm</t>
  </si>
  <si>
    <t>Lokālā tāme Nr.1-4</t>
  </si>
  <si>
    <r>
      <t xml:space="preserve">Darba apmaksas likme, </t>
    </r>
    <r>
      <rPr>
        <sz val="9"/>
        <rFont val="Arial"/>
        <family val="2"/>
        <charset val="1"/>
      </rPr>
      <t>euro</t>
    </r>
    <r>
      <rPr>
        <i/>
        <sz val="9"/>
        <rFont val="Arial"/>
        <family val="2"/>
        <charset val="1"/>
      </rPr>
      <t xml:space="preserve">/hDarba apmaksas likme, </t>
    </r>
    <r>
      <rPr>
        <sz val="9"/>
        <rFont val="Arial"/>
        <family val="2"/>
        <charset val="1"/>
      </rPr>
      <t>euro</t>
    </r>
    <r>
      <rPr>
        <i/>
        <sz val="9"/>
        <rFont val="Arial"/>
        <family val="2"/>
        <charset val="1"/>
      </rPr>
      <t xml:space="preserve">/hDarba apmaksas likme, </t>
    </r>
    <r>
      <rPr>
        <sz val="9"/>
        <rFont val="Arial"/>
        <family val="2"/>
        <charset val="1"/>
      </rPr>
      <t>euro</t>
    </r>
    <r>
      <rPr>
        <i/>
        <sz val="9"/>
        <rFont val="Arial"/>
        <family val="2"/>
        <charset val="1"/>
      </rPr>
      <t>/h</t>
    </r>
  </si>
  <si>
    <t>Ceļu tehnikas mobilizācija, demobilizācija</t>
  </si>
  <si>
    <t>Esošo drenu likvidēšana</t>
  </si>
  <si>
    <t>Plastmasas caurtekas izbūve d400mm T8 klase</t>
  </si>
  <si>
    <t>Betona aizargbarjera FBS 24-3-6</t>
  </si>
  <si>
    <t>SPK-1 d3200mm mēslu starpkrātuves izbūve h=3m (V=10.60m3), ieskaitot grunts izrakšanas, gruntsūdens pazemināšanas darbus, grunts aizbēršanas darbus)</t>
  </si>
  <si>
    <t>Ceļu segumi</t>
  </si>
  <si>
    <t>Šķembu segums</t>
  </si>
  <si>
    <t>Grunts pamatnes blietēšana</t>
  </si>
  <si>
    <t>Drenējošā kārta no smilts materiāla, K/f&gt;=1, h=30cm (80MPa)</t>
  </si>
  <si>
    <t>Dolomīta šķembu maisījums 0/45, h=25cm, (N-III klase)</t>
  </si>
  <si>
    <t>Betona segums</t>
  </si>
  <si>
    <t xml:space="preserve">Fibrobetona laukums c25/30 25 kg metāla fibras uz m3. </t>
  </si>
  <si>
    <t>Žogs</t>
  </si>
  <si>
    <t>Žoga uzstādīšana (Metināts, cinkots, PVC pārklāts žogs; 1.5x25m, acs 100c50mm, stieples Ø2.5mm)</t>
  </si>
  <si>
    <t>Divviru vārtu uzstādīšana L=5000mm</t>
  </si>
  <si>
    <t>Šķidrmēslu krātuve</t>
  </si>
  <si>
    <t>Grunts norakšana mehanizēti, ieskaitot gruntsūdens pazemināšanas izmaksas</t>
  </si>
  <si>
    <t>Lagūnas vaļņu veidošana (Lagūnas vaļņu izbūvei paredzēts izmantot gan objektā izraktās grunts materiālus)</t>
  </si>
  <si>
    <t>Drenējošs smilšu slānis 200mm</t>
  </si>
  <si>
    <t>HDPE ģeomembrānas 2mm ieklāšana, tai skaitā ģeotekstils zem membrānas</t>
  </si>
  <si>
    <t>Drenāžas caurule ar kokosa apvalku Ø92/80</t>
  </si>
  <si>
    <t>Drenāžas kontrolakas uzstādīšana</t>
  </si>
  <si>
    <t>Lokālā tāme Nr.1-5</t>
  </si>
  <si>
    <r>
      <t xml:space="preserve">Darba apmaksas likme, </t>
    </r>
    <r>
      <rPr>
        <sz val="9"/>
        <rFont val="Arial"/>
        <family val="2"/>
        <charset val="1"/>
      </rPr>
      <t>euro</t>
    </r>
    <r>
      <rPr>
        <i/>
        <sz val="9"/>
        <rFont val="Arial"/>
        <family val="2"/>
        <charset val="1"/>
      </rPr>
      <t xml:space="preserve">/hDarba apmaksas likme, </t>
    </r>
    <r>
      <rPr>
        <sz val="9"/>
        <rFont val="Arial"/>
        <family val="2"/>
        <charset val="1"/>
      </rPr>
      <t>euro</t>
    </r>
    <r>
      <rPr>
        <i/>
        <sz val="9"/>
        <rFont val="Arial"/>
        <family val="2"/>
        <charset val="1"/>
      </rPr>
      <t xml:space="preserve">/hDarba apmaksas likme, </t>
    </r>
    <r>
      <rPr>
        <sz val="9"/>
        <rFont val="Arial"/>
        <family val="2"/>
        <charset val="1"/>
      </rPr>
      <t>euro</t>
    </r>
    <r>
      <rPr>
        <i/>
        <sz val="9"/>
        <rFont val="Arial"/>
        <family val="2"/>
        <charset val="1"/>
      </rPr>
      <t xml:space="preserve">/hDarba apmaksas likme, </t>
    </r>
    <r>
      <rPr>
        <sz val="9"/>
        <rFont val="Arial"/>
        <family val="2"/>
        <charset val="1"/>
      </rPr>
      <t>euro</t>
    </r>
    <r>
      <rPr>
        <i/>
        <sz val="9"/>
        <rFont val="Arial"/>
        <family val="2"/>
        <charset val="1"/>
      </rPr>
      <t>/h</t>
    </r>
  </si>
  <si>
    <t xml:space="preserve"> Iekšējā elektroapgāde</t>
  </si>
  <si>
    <t>Kontaktligzda 2 vietīga V/A 1/N/PE; 230V; 16A; IP20</t>
  </si>
  <si>
    <t>Kontaktligzda 3 vietīga V/A 1/N/PE; 230V; 16A; IP20</t>
  </si>
  <si>
    <t>Kontaktligzda 4 vietīga V/A 1/N/PE; 230V; 16A; IP20</t>
  </si>
  <si>
    <t>Kontaktligzda V/A 1/N/PE; 230V; 16A; IP44</t>
  </si>
  <si>
    <t>Kontaktligzda V/A 1/N/PE; 230V; 16A; IP65</t>
  </si>
  <si>
    <t>Kontaktligzda V/A 3/N/PE; 380V; 16A; IP65</t>
  </si>
  <si>
    <t>Slēdzis V/A 230V 10A IP44</t>
  </si>
  <si>
    <t>Slēdzis V/A 230V 10A IP65</t>
  </si>
  <si>
    <t>Pārslēdzis V/A 230V 10A IP65</t>
  </si>
  <si>
    <t>Grupu slēdzis V/A 230V 10A IP20</t>
  </si>
  <si>
    <t>Sadalne SS/AS IP44 V/A, 72 moduļi nokomplektēt pēc shēmas</t>
  </si>
  <si>
    <t>Sadalne SS1/AS1 IP65 V/A, 24 moduļi nokomplektēt pēc shēmas</t>
  </si>
  <si>
    <t>Sadalne SS2/AS2 IP65 V/A, 24 moduļi nokomplektēt pēc shēmas</t>
  </si>
  <si>
    <t>Sadalne SS3/AS3 IP65 V/A, 36 moduļi nokomplektēt pēc shēmas</t>
  </si>
  <si>
    <t>Sadalne UPS IP44 V/A, 18 moduļi nokomplektēt pēc shēmas</t>
  </si>
  <si>
    <t>ARI sadalne (iekštelpu) 100A</t>
  </si>
  <si>
    <t>UPS 5 kW 230V</t>
  </si>
  <si>
    <t>Ledvance prož. ar kustības sensru 50W IP65 4000K 6000 lm</t>
  </si>
  <si>
    <t>Ledvance prož. ar kustības sensru 21W IP65 4000K 2400 lm</t>
  </si>
  <si>
    <t>LED plafons IP65; 1600 lm 17W</t>
  </si>
  <si>
    <t>Opple 543022017600;LEDWaterproof-B L1450-50W-4000-WT; 6250 lm; 50W</t>
  </si>
  <si>
    <t>Opple 543022017500; LEDWaterproof-B L1150-36W-4000-WT; 4500 lm; 36W</t>
  </si>
  <si>
    <t>Lena lighting 226663; GAMMA LED 1600 lm 840 (14W); 1600 lm; 17W</t>
  </si>
  <si>
    <t>Evakuācijas moulis IZEJA V/A IP44 1h</t>
  </si>
  <si>
    <t>Evakuācijas moulis IZEJA V/A IP65 1h</t>
  </si>
  <si>
    <t>Kabelis AXMK 4x70</t>
  </si>
  <si>
    <t>Kabelis NYY 5x6</t>
  </si>
  <si>
    <t>Kabelis NYY 5x4</t>
  </si>
  <si>
    <t>Kabelis NYY 3x4</t>
  </si>
  <si>
    <t>Kabelis NYY 5x2,5</t>
  </si>
  <si>
    <t xml:space="preserve">Kabelis NYY 3x2,5 </t>
  </si>
  <si>
    <t xml:space="preserve">Kabelis NYY 3x1,5 </t>
  </si>
  <si>
    <t>Kabelis NYY 5x1,5</t>
  </si>
  <si>
    <t xml:space="preserve">Kabelis NYY 4x1,5 </t>
  </si>
  <si>
    <t>Gofra 450N ∅=40mm</t>
  </si>
  <si>
    <t>Gofra 450N ∅=110mm</t>
  </si>
  <si>
    <t>Cietā instalācijas caurule līdz 25mm</t>
  </si>
  <si>
    <t>Gofrētā instalācijas caurule līdz 25mm</t>
  </si>
  <si>
    <t>Kabeļu gala apdare EPKT 0015</t>
  </si>
  <si>
    <t>Kabeļu gala apdare EPKT 0031</t>
  </si>
  <si>
    <t>Karsti cinkota tērauda lenta 30x3,5mm</t>
  </si>
  <si>
    <t>Izolēt cinkots tērauda apaļdzelzs d=10mm</t>
  </si>
  <si>
    <t>Cinkots tērauda apaļdzelzs d=10mm</t>
  </si>
  <si>
    <t>Plakandzelzs - savienojuma klemme</t>
  </si>
  <si>
    <r>
      <t>Vads - dzeltenzaļš 6mm</t>
    </r>
    <r>
      <rPr>
        <sz val="12.5"/>
        <rFont val="Arial Narrow"/>
        <family val="2"/>
        <charset val="186"/>
      </rPr>
      <t>²</t>
    </r>
  </si>
  <si>
    <r>
      <t>Vads - dzeltenzaļš 16mm</t>
    </r>
    <r>
      <rPr>
        <sz val="12.5"/>
        <rFont val="Arial Narrow"/>
        <family val="2"/>
        <charset val="186"/>
      </rPr>
      <t>²</t>
    </r>
  </si>
  <si>
    <t>Palīgmateriāli</t>
  </si>
  <si>
    <t>Citi darbi</t>
  </si>
  <si>
    <t xml:space="preserve">Kalšanas un štrobēšanas darbi </t>
  </si>
  <si>
    <t>Mērijumu veikšana</t>
  </si>
  <si>
    <t>Izpilddokumentācija</t>
  </si>
  <si>
    <t>objekts</t>
  </si>
  <si>
    <t>Lokālā tāme Nr.1-6</t>
  </si>
  <si>
    <t>Kontaktmērījumu klemme</t>
  </si>
  <si>
    <t xml:space="preserve">Multiklemme </t>
  </si>
  <si>
    <t>Zibens novedējstieple AlMgSi d=8mm</t>
  </si>
  <si>
    <t xml:space="preserve">Stieples striprinājumi </t>
  </si>
  <si>
    <t>Zibens uztvērējs L=2,0m d=16/10mm</t>
  </si>
  <si>
    <t>Zibens uztvērēja stiprinājumi uz jumta kores</t>
  </si>
  <si>
    <t>Izolētā zibens novedējsistēma barības tornim</t>
  </si>
  <si>
    <t>Zemējuma elektrods L=3m</t>
  </si>
  <si>
    <t>Zemējuma elektroda spice</t>
  </si>
  <si>
    <t>Zemējuma elektroda montāžas galva (1 gab. Uz 40)</t>
  </si>
  <si>
    <t>Krustaklemme (zemējuma elektroda pievienošanai)</t>
  </si>
  <si>
    <t>Izolēts cinkota tērauda apaļdzelzs d=10mm</t>
  </si>
  <si>
    <t>Savienojuma klemme plakandzelzs – plakandzelzs</t>
  </si>
  <si>
    <t>Savienojuma klemme plakandzelzs – apaļdzelzs</t>
  </si>
  <si>
    <t>Antikorozijas lenta 50mm 10m rullis</t>
  </si>
  <si>
    <t>Aizsargcaurule gofrēta 750N ∅=110mm</t>
  </si>
  <si>
    <t>Aizsargcaurule gofrēta 450N ∅=63mm</t>
  </si>
  <si>
    <t>Rūpnieciski izgatavots 750N ∅=110mm līkums</t>
  </si>
  <si>
    <t>Kabelis NYY 3x1,5 mm²</t>
  </si>
  <si>
    <t>Kabelis NYY 4x1,0 mm²</t>
  </si>
  <si>
    <t>Kabelis NYY 3x1,0 mm²</t>
  </si>
  <si>
    <t>H07RN-F 5x35 mm² (lokans, melns)</t>
  </si>
  <si>
    <t>Ģeneratora standarta betona pamatne</t>
  </si>
  <si>
    <t>Kabelis AXMK 4x35 mm²</t>
  </si>
  <si>
    <t>Kabelis AXMK 4x70 mm²</t>
  </si>
  <si>
    <t>Kabeļu signāllenta</t>
  </si>
  <si>
    <t>Smiltis</t>
  </si>
  <si>
    <t>Tranšejas rakšana / aizbēršana</t>
  </si>
  <si>
    <t>Elektrisko mērijumu veikšana</t>
  </si>
  <si>
    <t>Izpilddokumentācijas sagatavošana</t>
  </si>
  <si>
    <t>Lokālā tāme Nr.1-7</t>
  </si>
  <si>
    <t>Ūdensapgāde Ū1, Ū3</t>
  </si>
  <si>
    <t>Aukstā/karstā ūdens cauruļvadu PE OD32 SDR11, tai skaitā veidgabalu, montāža</t>
  </si>
  <si>
    <t>Aukstā/karstā ūdens cauruļvadu PE OD25 SDR11, tai skaitā veidgabalu, montāža</t>
  </si>
  <si>
    <t>Aukstā/karstā ūdens daudzslāņu caurules  OD32 PN10, tai skaitā veidgabalu, montāža pie sienas/griestiem</t>
  </si>
  <si>
    <t>Aukstā/karstā ūdens daudzslāņu caurules  OD25 PN10, tai skaitā veidgabalu, montāža pie sienas/griestiem</t>
  </si>
  <si>
    <t>Aukstā/karstā ūdens daudzslāņu caurules  OD20 PN10, tai skaitā veidgabalu, montāža pie sienas/griestiem</t>
  </si>
  <si>
    <t>Aukstā/karstā ūdens daudzslāņu caurules  OD16 PN10, tai skaitā veidgabalu, montāža pie sienas/griestiem</t>
  </si>
  <si>
    <t>Pretkondensāta izolācijas "K-Flex" čaulā 9mm uzstādīšana OD32 caurulei</t>
  </si>
  <si>
    <t>56</t>
  </si>
  <si>
    <t>Pretkondensāta izolācijas "K-Flex" čaulā 9mm uzstādīšana OD25 caurulei</t>
  </si>
  <si>
    <t>6</t>
  </si>
  <si>
    <t>Pretkondensāta izolācijas "K-Flex" čaulā 9mm uzstādīšana OD20 caurulei</t>
  </si>
  <si>
    <t>Pretkondensāta izolācijas "K-Flex" čaulā 9mm uzstādīšana OD16 caurulei</t>
  </si>
  <si>
    <t>9</t>
  </si>
  <si>
    <t xml:space="preserve">Siltumizolācijas izolācijas "K-Flex"  čaulā 19mm uzstādīšana OD32 caurulei </t>
  </si>
  <si>
    <t xml:space="preserve">Siltumizolācijas izolācijas "K-Flex"  čaulā 19mm uzstādīšana OD25 caurulei </t>
  </si>
  <si>
    <t xml:space="preserve">Siltumizolācijas izolācijas "K-Flex"  čaulā 19mm uzstādīšana OD20 caurulei </t>
  </si>
  <si>
    <t xml:space="preserve">Siltumizolācijas izolācijas "K-Flex"  čaulā 19mm uzstādīšana OD16 caurulei </t>
  </si>
  <si>
    <t>Putupolistirola cauruļu izolācijas čaula Tenapors T 35-50</t>
  </si>
  <si>
    <t>Putupolistirola cauruļu izolācijas čaula Tenapors T 28-50</t>
  </si>
  <si>
    <t>Pieslēguma dzirdnei, dzirdnes montāža, ieskaitot noslēgventili 3/4" un laistīšanas krānu DN15</t>
  </si>
  <si>
    <t>kpl.</t>
  </si>
  <si>
    <t>Pieslēguma dzirdnei, dzirdnes montāža, ieskaitot 2gb. noslēgventiļus 1", 1 gb noslēgventili 3/4" un laistīšanas krānu DN15</t>
  </si>
  <si>
    <t>Elektriskais ūdens sildītājs, horizontāls V=100l, ieskaitot noslēgvārstu 3/4", pretvārstu 3/4", drošības vārstu 1/2", noslēgvārstu 1/2"izlaidei</t>
  </si>
  <si>
    <t>Cirkulācijas sūknis aukstajam ūdenim montāža, ieskaitot sietiņfiltru Dn25, aizbīdņus 2gb Dn25, 1gb vienvirziena vārsts Dn25.</t>
  </si>
  <si>
    <t>Stūra ventilis Dn15 (karstā un aukstā ūdens pievadiem-2gb) roku mazgātnēm</t>
  </si>
  <si>
    <t>Noslēgventilis Dn15 poda pieslēgumam</t>
  </si>
  <si>
    <t>Noslēgventilis Dn25 uz ievada, montāža</t>
  </si>
  <si>
    <t>1</t>
  </si>
  <si>
    <t>Noslēgventilis Dn25, montāža</t>
  </si>
  <si>
    <t>12</t>
  </si>
  <si>
    <t>Noslēgventilis Dn16, montāža</t>
  </si>
  <si>
    <t>4</t>
  </si>
  <si>
    <t>Pretvārsts Dn25</t>
  </si>
  <si>
    <t>3</t>
  </si>
  <si>
    <t>Automātiskais atgaisotājs Dn25, montāža</t>
  </si>
  <si>
    <t>2</t>
  </si>
  <si>
    <t>Ūdens sagatavošanas un mīkstināšanas iekārta ar ražību Q=1,0m3/h, ieskaitot vadības sistēmu, apvedlīnija</t>
  </si>
  <si>
    <t>Pieslēgums elektriskajam ūdens sildītājam, ieskaitot 2 noslēgvārstus 1", drošības vārstu, pretvārstu 1"</t>
  </si>
  <si>
    <t>Ūdens rezervuārs V=1,5m3, pieslēgums aukstajam ūdenim</t>
  </si>
  <si>
    <t>Spiediena paaugstināšanas sūknis vai hidrofors, ja esošais artēziskais sūknis nenodrošina 3,5-4 atm spiedienu pie slaukšanas robota</t>
  </si>
  <si>
    <t>Stiprinājumi un montāžas palīgmateriāli</t>
  </si>
  <si>
    <t>Sanitārtehniskās ierīces</t>
  </si>
  <si>
    <t>Kvadrātveida duškabīnes 900x900mm uzstādīšana komplektā ar dušas jaucējkrānu, dušas galvu</t>
  </si>
  <si>
    <t>Keramikas izlietnes ar jaucējkrānu (iztekas garums no 145mm), stiprināmas pie sienas uzstādīšana, ieskaitot sausā tipa vārstu un pievienojuma  fasondaļu komplektu pievienošana pie ūdensvadiem un pie kanalizācijas tīkliem</t>
  </si>
  <si>
    <t>Klozetpoda ar skalošanas tvertni  un pievienojuma  fasondaļu komplektu, uzstādīšana un pievienošana pie ūdensvadiem un pie kanalizācijas tīkliem</t>
  </si>
  <si>
    <t>Hidrauliskās pārbaudes un izpilddokumentācijas sagatavošana</t>
  </si>
  <si>
    <t>Sadzīves kanalizācija K1</t>
  </si>
  <si>
    <t>Plastmasas kanalizācijas cauruļu PP OD110, ieskaitot veidgabalus,  uzstādīšana zem grīdas konstrukcijas gruntī. Cauruļvadu pamatnes sagatavošana un to apbēršana pēc konkrētā caurules ražotāja noteikumiem</t>
  </si>
  <si>
    <t>Plastmasas kanalizācijas cauruļu PP OD50, ieskaitot veidgabalus,  uzstādīšana zem grīdas konstrukcijas gruntī. Cauruļvadu pamatnes sagatavošana un to apbēršana pēc konkrētā caurules ražotāja noteikumiem</t>
  </si>
  <si>
    <t>Plastmasas kanalizācijas cauruļu PP OD110, ieskaitot veidgabalus,  montāža iekārtu pievadiem, gruntī, atklāti vai slēpti sienā</t>
  </si>
  <si>
    <t>Mitrumizturīga ģipškartona konstrukcija stāvvada apšūšanai</t>
  </si>
  <si>
    <t>Vēdināšanas stāvvada montāža no PPHT plastmasas kanalizācijas caurules  OD110 ieskaitot veidgabalus un stiprinājumus sienā, tā apšūšana ar mitrumizturīgo ģipškartona konstrukciju</t>
  </si>
  <si>
    <t>Rūpnieciski ražota ventilācijas izvada uzstādīšana virs jumta caurulei OD110 hermētiski šķērsojot sendvičtipa jumta paneli</t>
  </si>
  <si>
    <t>vieta</t>
  </si>
  <si>
    <t xml:space="preserve">Plastmasas revīzijas OD110 montāža </t>
  </si>
  <si>
    <t>Plastmasas apkalpes lūkas  uzstādīšana pret revīziju ģipškartonā  ieskaitot visus nepieciešamos papildmateriālus</t>
  </si>
  <si>
    <t>Tīrīšanas lūkas Dn100 150mmx150mm, smakas drošas uzstādīšana, ieskaitot visus nepieciešamos veidgabalus</t>
  </si>
  <si>
    <t>Tehnoloģiskā kanalizācija K3</t>
  </si>
  <si>
    <t>Plastmasas kanalizācijas cauruļu PP OD160, ieskaitot veidgabalus,  uzstādīšana zem grīdas konstrukcijas gruntī. Cauruļvadu pamatnes sagatavošana un to apbēršana pēc konkrētā caurules ražotāja noteikumiem</t>
  </si>
  <si>
    <t>Plastmasas kanalizācijas cauruļu PP OD160, ieskaitot veidgabalus,  montāža iekārtu pievadiem, gruntī, atklāti vai slēpti sienā</t>
  </si>
  <si>
    <t>Plastmasas kanalizācijas cauruļu PP OD50, ieskaitot veidgabalus,  montāža iekārtu pievadiem, gruntī, atklāti vai slēpti sienā</t>
  </si>
  <si>
    <t>Vēdināšanas stāvvada montāža no PPHT plastmasas kanalizācijas caurules  OD160 ieskaitot veidgabalus un stiprinājumus sienā</t>
  </si>
  <si>
    <t>Rūpnieciski ražota ventilācijas izvada uzstādīšana virs jumta caurulei OD160 hermētiski šķērsojot sendvičtipa jumta paneli</t>
  </si>
  <si>
    <t xml:space="preserve">Plastmasas revīzijas OD160 montāža </t>
  </si>
  <si>
    <t>Tīrīšanas lūkas Dn160 150mmx150mm, smakas drošas uzstādīšana, ieskaitot visus nepieciešamos veidgabalus</t>
  </si>
  <si>
    <t>Traps, vertikāls ar nerūsējošā tērauda resti, OD110 uzstādīšana, ieskaitot visus nepieciešamos veidgabalus</t>
  </si>
  <si>
    <t>Nerūsējošā tērauda izlietnes ar jaucējkrānu (iztekas garums no 145mm), stiprināmas pie sienas uzstādīšana, ieskaitot sausā tipa vārstu un pievienojuma  fasondaļu komplektu pievienošana pie ūdensvadiem un pie kanalizācijas tīkliem</t>
  </si>
  <si>
    <t>Lokālā tāme Nr.1-8</t>
  </si>
  <si>
    <t>Ārējais ūdensvads</t>
  </si>
  <si>
    <t>Trases nospraušana</t>
  </si>
  <si>
    <t xml:space="preserve">Auglīgā slāņa noņemšana h=20cm un aizvešana (līdz 2km uz pasūtītāja atbērtni),  zaļās zonas atjaunošana </t>
  </si>
  <si>
    <r>
      <t>m</t>
    </r>
    <r>
      <rPr>
        <vertAlign val="superscript"/>
        <sz val="10"/>
        <rFont val="Times New Roman"/>
        <family val="1"/>
        <charset val="186"/>
      </rPr>
      <t>2</t>
    </r>
  </si>
  <si>
    <t>Tranšejas h=līdz 2m rakšana, platums h=1,5m</t>
  </si>
  <si>
    <t>m³</t>
  </si>
  <si>
    <t>Virszemes ūdens atsūknēšana no tranšejas ar drenāžas sūkni (nepieciešamības gadījumā)</t>
  </si>
  <si>
    <t>Grunts ūdens līmeņa pazemināšana ar adatfiltriem cauruļu rakšanas zonā (nepieciešamības gadījumā)</t>
  </si>
  <si>
    <t>Smilts pamatnes ierīkošana zem cauruļvadiem b=0,15 m un cauruļvada apbērums b=0,15 m</t>
  </si>
  <si>
    <t xml:space="preserve">Ūdensapgādes cauruļvada PE OD32, SDR11 montāža tranšejā </t>
  </si>
  <si>
    <t>Tranšejas aizbēršana, blietējot</t>
  </si>
  <si>
    <t xml:space="preserve">Ūdensvada skalošana un dezinfekcija, ieskaitot dezinfekcijai nepieciešamos materiālus, kā arī visas citas nepieciešamās spiedienu pārbaudes </t>
  </si>
  <si>
    <t>obj.</t>
  </si>
  <si>
    <r>
      <t>PEH EM līknis De32 45</t>
    </r>
    <r>
      <rPr>
        <vertAlign val="superscript"/>
        <sz val="10"/>
        <rFont val="Times New Roman"/>
        <family val="1"/>
        <charset val="186"/>
      </rPr>
      <t xml:space="preserve">o  </t>
    </r>
    <r>
      <rPr>
        <sz val="10"/>
        <rFont val="Times New Roman"/>
        <family val="1"/>
        <charset val="186"/>
      </rPr>
      <t>un montāža no 1,8 līdz 2,0m dziļumāPEH EM līknis De32 45</t>
    </r>
    <r>
      <rPr>
        <vertAlign val="superscript"/>
        <sz val="10"/>
        <rFont val="Times New Roman"/>
        <family val="1"/>
        <charset val="186"/>
      </rPr>
      <t xml:space="preserve">o  </t>
    </r>
    <r>
      <rPr>
        <sz val="10"/>
        <rFont val="Times New Roman"/>
        <family val="1"/>
        <charset val="186"/>
      </rPr>
      <t>un montāža no 1,8 līdz 2,0m dziļumāPEH EM līknis De32 45</t>
    </r>
    <r>
      <rPr>
        <vertAlign val="superscript"/>
        <sz val="10"/>
        <rFont val="Times New Roman"/>
        <family val="1"/>
        <charset val="186"/>
      </rPr>
      <t xml:space="preserve">o  </t>
    </r>
    <r>
      <rPr>
        <sz val="10"/>
        <rFont val="Times New Roman"/>
        <family val="1"/>
        <charset val="186"/>
      </rPr>
      <t>un montāža no 1,8 līdz 2,0m dziļumā</t>
    </r>
  </si>
  <si>
    <t>Ūdensapgādes PE cauruļvadu fasondaļas</t>
  </si>
  <si>
    <t>Pieslēgums pie esošā ūdens urbuma (t.sk.atšurfēšana un aizsardzība)</t>
  </si>
  <si>
    <t>vietas</t>
  </si>
  <si>
    <t>Pamatu šķērsojums ar apvalkcauruli un blīvējuma palīgmateriāliem</t>
  </si>
  <si>
    <t>Šķērsojums ar esošo elektrības kabeli</t>
  </si>
  <si>
    <t>Šķērsojums ar esošo drenāžu</t>
  </si>
  <si>
    <t>Kanalizācija K1, K3</t>
  </si>
  <si>
    <t>Tranšejas h=līdz 1,5m rakšana, platums h=1,5m</t>
  </si>
  <si>
    <t>PP kanalizācijas caurules OD110 SN8 montāža tranšejā</t>
  </si>
  <si>
    <t>PP kanalizācijas caurules OD160 SN8 montāža tranšejā</t>
  </si>
  <si>
    <t>Rūpnieciski ražota dzelzsbetona grodu aka DN1500, siltināta, H=3,0m,  hidroizolēta, ar nerūsējošā tērauda kāpšļiem,  vāku nestspēja 40t iebūvei zaļajā zonā, aizsargčaulu OD160 caurulei, kanalizācijas pretvārstu OD160 caurulei</t>
  </si>
  <si>
    <t>Rūpnieciski ražota dzelzsbetona grodu aka DN1500, siltināta, H=3,0m,  hidroizolēta, ar nerūsējošā tērauda kāpšļiem,  vāku nestspēja 40t iebūvei zaļajā zonā, aizsargčaulu OD110 caurulei, kanalizācijas pretvārstu OD110 caurulei</t>
  </si>
  <si>
    <t xml:space="preserve">Liekās grunts pārvietošana līdz 2km </t>
  </si>
  <si>
    <t xml:space="preserve">Hidrauliskās pārbaudes pašteces caurulēm </t>
  </si>
  <si>
    <t>Pārbaude uz infiltrāciju, pašteces kanalizācijas izpildmērījumi un dokumentācijas sagatavošana</t>
  </si>
  <si>
    <t>Betons C30/37 aku vāku nostiprināšanai</t>
  </si>
  <si>
    <r>
      <t>m</t>
    </r>
    <r>
      <rPr>
        <vertAlign val="superscript"/>
        <sz val="10"/>
        <rFont val="Times New Roman"/>
        <family val="1"/>
        <charset val="186"/>
      </rPr>
      <t>3m3</t>
    </r>
  </si>
  <si>
    <t>Kanalizācijas spiedvads K1S</t>
  </si>
  <si>
    <t>Tranšejas h=līdz 2,5m rakšana, platums h=1,5m</t>
  </si>
  <si>
    <t xml:space="preserve">Kanalizācijas spiedvada caurules PE OD160, SDR17 montāža tranšejā </t>
  </si>
  <si>
    <t>Aizsargčaulas uzstādīšana OD160 caurulei starpkrātuves betona sienas šķērsošanai</t>
  </si>
  <si>
    <t>Nažveida aizbīdnis DN150, montāža mēslu savākšanas kanālā</t>
  </si>
  <si>
    <t xml:space="preserve">Pretvārsta DN150 uzstādīšana </t>
  </si>
  <si>
    <t>Pāreja PE uzmava/atloks DN150, montāža mēslu savākšanas kanālā</t>
  </si>
  <si>
    <t>Spiedvada hidrauliskā pārbaude, izpildshēmas uc.</t>
  </si>
  <si>
    <t xml:space="preserve">Tāme sastādīta: </t>
  </si>
  <si>
    <t>Virsizdevumi (%)</t>
  </si>
  <si>
    <t>Peļņa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</si>
</sst>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_-;_-@_-"/>
    <numFmt numFmtId="165" formatCode="_(* #,##0.00_);_(* \(#,##0.00\);_(* \-??_);_(@_)"/>
  </numFmts>
  <fonts count="27" x14ac:knownFonts="1">
    <font>
      <sz val="10"/>
      <name val="Arial"/>
      <family val="2"/>
    </font>
    <font>
      <sz val="10"/>
      <name val="Mangal"/>
      <family val="2"/>
    </font>
    <font>
      <sz val="10"/>
      <name val="Arial"/>
      <family val="2"/>
      <charset val="186"/>
    </font>
    <font>
      <sz val="10"/>
      <color indexed="8"/>
      <name val="Arial"/>
      <family val="2"/>
      <charset val="186"/>
    </font>
    <font>
      <sz val="11"/>
      <color indexed="8"/>
      <name val="Calibri"/>
      <family val="2"/>
      <charset val="186"/>
    </font>
    <font>
      <sz val="12"/>
      <name val="Courier New"/>
      <family val="1"/>
      <charset val="186"/>
    </font>
    <font>
      <sz val="10"/>
      <name val="Arial"/>
      <family val="2"/>
      <charset val="1"/>
    </font>
    <font>
      <sz val="9"/>
      <color indexed="8"/>
      <name val="Arial"/>
      <family val="2"/>
      <charset val="1"/>
    </font>
    <font>
      <sz val="9"/>
      <name val="Arial"/>
      <family val="2"/>
      <charset val="1"/>
    </font>
    <font>
      <b/>
      <sz val="9"/>
      <name val="Arial"/>
      <family val="2"/>
      <charset val="1"/>
    </font>
    <font>
      <i/>
      <sz val="9"/>
      <color indexed="8"/>
      <name val="Arial"/>
      <family val="2"/>
      <charset val="1"/>
    </font>
    <font>
      <i/>
      <sz val="9"/>
      <name val="Arial"/>
      <family val="2"/>
      <charset val="1"/>
    </font>
    <font>
      <b/>
      <sz val="9"/>
      <color indexed="8"/>
      <name val="Arial"/>
      <family val="2"/>
      <charset val="1"/>
    </font>
    <font>
      <b/>
      <i/>
      <sz val="9"/>
      <color indexed="8"/>
      <name val="Arial"/>
      <family val="2"/>
      <charset val="1"/>
    </font>
    <font>
      <b/>
      <i/>
      <sz val="9"/>
      <name val="Arial"/>
      <family val="2"/>
      <charset val="1"/>
    </font>
    <font>
      <sz val="9"/>
      <name val="Arial"/>
      <family val="2"/>
      <charset val="186"/>
    </font>
    <font>
      <sz val="9"/>
      <color indexed="8"/>
      <name val="Arial"/>
      <family val="2"/>
      <charset val="186"/>
    </font>
    <font>
      <sz val="11"/>
      <name val="Arial Narrow"/>
      <family val="2"/>
      <charset val="186"/>
    </font>
    <font>
      <sz val="12.5"/>
      <name val="Arial Narrow"/>
      <family val="2"/>
      <charset val="186"/>
    </font>
    <font>
      <b/>
      <sz val="12"/>
      <name val="Arial Narrow"/>
      <family val="2"/>
      <charset val="186"/>
    </font>
    <font>
      <u/>
      <sz val="11"/>
      <color indexed="30"/>
      <name val="Calibri"/>
      <family val="2"/>
      <charset val="186"/>
    </font>
    <font>
      <b/>
      <sz val="10"/>
      <name val="Arial"/>
      <family val="2"/>
      <charset val="186"/>
    </font>
    <font>
      <sz val="10"/>
      <name val="Times New Roman"/>
      <family val="1"/>
      <charset val="186"/>
    </font>
    <font>
      <b/>
      <i/>
      <sz val="10"/>
      <name val="Times New Roman"/>
      <family val="1"/>
      <charset val="186"/>
    </font>
    <font>
      <b/>
      <sz val="10"/>
      <name val="Times New Roman"/>
      <family val="1"/>
      <charset val="186"/>
    </font>
    <font>
      <sz val="10"/>
      <color indexed="10"/>
      <name val="Times New Roman"/>
      <family val="1"/>
      <charset val="186"/>
    </font>
    <font>
      <vertAlign val="superscript"/>
      <sz val="10"/>
      <name val="Times New Roman"/>
      <family val="1"/>
      <charset val="186"/>
    </font>
  </fonts>
  <fills count="3">
    <fill>
      <patternFill patternType="none"/>
    </fill>
    <fill>
      <patternFill patternType="gray125"/>
    </fill>
    <fill>
      <patternFill patternType="solid">
        <fgColor indexed="9"/>
        <bgColor indexed="26"/>
      </patternFill>
    </fill>
  </fills>
  <borders count="6">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s>
  <cellStyleXfs count="23">
    <xf numFmtId="0" fontId="0" fillId="0" borderId="0"/>
    <xf numFmtId="164" fontId="1" fillId="0" borderId="0" applyFill="0" applyBorder="0" applyAlignment="0" applyProtection="0"/>
    <xf numFmtId="0" fontId="20" fillId="0" borderId="0" applyNumberFormat="0" applyFill="0" applyBorder="0" applyAlignment="0" applyProtection="0"/>
    <xf numFmtId="164" fontId="1" fillId="0" borderId="0" applyFill="0" applyBorder="0" applyAlignment="0" applyProtection="0"/>
    <xf numFmtId="165" fontId="1" fillId="0" borderId="0" applyFill="0" applyBorder="0" applyAlignment="0" applyProtection="0"/>
    <xf numFmtId="164" fontId="1" fillId="0" borderId="0" applyFill="0" applyBorder="0" applyAlignment="0" applyProtection="0"/>
    <xf numFmtId="0" fontId="2" fillId="0" borderId="0"/>
    <xf numFmtId="0" fontId="3" fillId="0" borderId="0"/>
    <xf numFmtId="0" fontId="4" fillId="0" borderId="0"/>
    <xf numFmtId="0" fontId="2" fillId="0" borderId="0"/>
    <xf numFmtId="0" fontId="2" fillId="0" borderId="0"/>
    <xf numFmtId="0" fontId="2" fillId="0" borderId="0"/>
    <xf numFmtId="0" fontId="2" fillId="0" borderId="0"/>
    <xf numFmtId="0" fontId="4" fillId="0" borderId="0"/>
    <xf numFmtId="0" fontId="5" fillId="0" borderId="0"/>
    <xf numFmtId="0" fontId="2" fillId="0" borderId="0"/>
    <xf numFmtId="0" fontId="2" fillId="0" borderId="0"/>
    <xf numFmtId="0" fontId="1" fillId="0" borderId="0" applyNumberFormat="0" applyFill="0" applyBorder="0" applyAlignment="0" applyProtection="0"/>
    <xf numFmtId="0" fontId="4" fillId="0" borderId="0"/>
    <xf numFmtId="0" fontId="2" fillId="0" borderId="0"/>
    <xf numFmtId="0" fontId="2" fillId="0" borderId="0"/>
    <xf numFmtId="0" fontId="6" fillId="0" borderId="0"/>
    <xf numFmtId="0" fontId="2" fillId="0" borderId="0"/>
  </cellStyleXfs>
  <cellXfs count="228">
    <xf numFmtId="0" fontId="0" fillId="0" borderId="0" xfId="0"/>
    <xf numFmtId="0" fontId="7"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wrapText="1"/>
    </xf>
    <xf numFmtId="0" fontId="8" fillId="0" borderId="0" xfId="0" applyFont="1" applyAlignment="1">
      <alignment horizontal="left" vertical="center" wrapText="1"/>
    </xf>
    <xf numFmtId="0" fontId="9" fillId="0" borderId="0" xfId="14" applyFont="1" applyAlignment="1">
      <alignment horizontal="left" vertical="center" wrapText="1"/>
    </xf>
    <xf numFmtId="0" fontId="9" fillId="0" borderId="0" xfId="0" applyFont="1" applyAlignment="1">
      <alignment vertical="center"/>
    </xf>
    <xf numFmtId="0" fontId="8" fillId="0" borderId="0" xfId="0" applyFont="1" applyAlignment="1">
      <alignment horizontal="right" vertical="center"/>
    </xf>
    <xf numFmtId="0" fontId="9" fillId="0" borderId="0" xfId="0" applyFont="1" applyAlignment="1">
      <alignment horizontal="left" vertical="center"/>
    </xf>
    <xf numFmtId="0" fontId="8" fillId="0" borderId="1" xfId="17"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64" fontId="8" fillId="0" borderId="1" xfId="0" applyNumberFormat="1" applyFont="1" applyBorder="1" applyAlignment="1">
      <alignment vertical="center"/>
    </xf>
    <xf numFmtId="0" fontId="8" fillId="0" borderId="1" xfId="0" applyFont="1" applyBorder="1" applyAlignment="1">
      <alignment horizontal="left" vertical="center"/>
    </xf>
    <xf numFmtId="0" fontId="8" fillId="0" borderId="1" xfId="0" applyFont="1" applyBorder="1" applyAlignment="1">
      <alignment horizontal="right" vertical="center" wrapText="1"/>
    </xf>
    <xf numFmtId="4" fontId="9" fillId="0" borderId="0" xfId="0" applyNumberFormat="1" applyFont="1" applyAlignment="1">
      <alignment horizontal="center" vertical="center"/>
    </xf>
    <xf numFmtId="0" fontId="8" fillId="0" borderId="2" xfId="11" applyFont="1" applyBorder="1"/>
    <xf numFmtId="0" fontId="8" fillId="0" borderId="0" xfId="11" applyFont="1"/>
    <xf numFmtId="0" fontId="8" fillId="0" borderId="0" xfId="11" applyFont="1" applyAlignment="1">
      <alignment horizontal="left"/>
    </xf>
    <xf numFmtId="0" fontId="8" fillId="0" borderId="0" xfId="0" applyFont="1"/>
    <xf numFmtId="0" fontId="8" fillId="0" borderId="0" xfId="0" applyFont="1" applyAlignment="1">
      <alignment wrapText="1"/>
    </xf>
    <xf numFmtId="2" fontId="8" fillId="0" borderId="0" xfId="0" applyNumberFormat="1" applyFont="1" applyAlignment="1">
      <alignment horizontal="left" vertical="center"/>
    </xf>
    <xf numFmtId="4" fontId="8" fillId="0" borderId="0" xfId="0" applyNumberFormat="1" applyFont="1" applyAlignment="1">
      <alignment horizontal="center" vertical="center"/>
    </xf>
    <xf numFmtId="0" fontId="8" fillId="0" borderId="0" xfId="15" applyFont="1"/>
    <xf numFmtId="0" fontId="9" fillId="0" borderId="1" xfId="0" applyFont="1" applyBorder="1" applyAlignment="1">
      <alignment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wrapText="1"/>
    </xf>
    <xf numFmtId="4" fontId="8" fillId="0" borderId="1" xfId="0" applyNumberFormat="1" applyFont="1" applyBorder="1" applyAlignment="1">
      <alignment horizontal="center" vertical="center"/>
    </xf>
    <xf numFmtId="164" fontId="8" fillId="0" borderId="0" xfId="1" applyFont="1" applyFill="1" applyBorder="1" applyAlignment="1" applyProtection="1"/>
    <xf numFmtId="2" fontId="8" fillId="0" borderId="1" xfId="0" applyNumberFormat="1" applyFont="1" applyBorder="1" applyAlignment="1">
      <alignment wrapText="1"/>
    </xf>
    <xf numFmtId="0" fontId="8" fillId="0" borderId="1" xfId="0" applyFont="1" applyBorder="1"/>
    <xf numFmtId="0" fontId="8" fillId="0" borderId="1" xfId="15" applyFont="1" applyBorder="1"/>
    <xf numFmtId="0" fontId="9" fillId="0" borderId="1" xfId="15" applyFont="1" applyBorder="1" applyAlignment="1">
      <alignment horizontal="right"/>
    </xf>
    <xf numFmtId="4" fontId="9" fillId="0" borderId="1" xfId="15" applyNumberFormat="1" applyFont="1" applyBorder="1" applyAlignment="1">
      <alignment horizontal="center" vertical="center"/>
    </xf>
    <xf numFmtId="0" fontId="8" fillId="0" borderId="1" xfId="15" applyFont="1" applyBorder="1" applyAlignment="1">
      <alignment horizontal="right" vertical="center"/>
    </xf>
    <xf numFmtId="4" fontId="8" fillId="0" borderId="1" xfId="15" applyNumberFormat="1" applyFont="1" applyBorder="1" applyAlignment="1">
      <alignment horizontal="center" vertical="center" wrapText="1"/>
    </xf>
    <xf numFmtId="0" fontId="8" fillId="0" borderId="0" xfId="15" applyFont="1" applyAlignment="1">
      <alignment horizontal="center" vertical="center"/>
    </xf>
    <xf numFmtId="0" fontId="8" fillId="0" borderId="1" xfId="15" applyFont="1" applyBorder="1" applyAlignment="1">
      <alignment horizontal="right" vertical="center" wrapText="1"/>
    </xf>
    <xf numFmtId="4" fontId="9" fillId="0" borderId="1" xfId="15" applyNumberFormat="1" applyFont="1" applyBorder="1" applyAlignment="1">
      <alignment horizontal="center"/>
    </xf>
    <xf numFmtId="4" fontId="8" fillId="0" borderId="0" xfId="15" applyNumberFormat="1" applyFont="1" applyAlignment="1">
      <alignment horizontal="center" vertical="center"/>
    </xf>
    <xf numFmtId="0" fontId="9" fillId="0" borderId="0" xfId="15" applyFont="1" applyAlignment="1">
      <alignment horizontal="right"/>
    </xf>
    <xf numFmtId="4" fontId="9" fillId="0" borderId="0" xfId="15" applyNumberFormat="1" applyFont="1" applyAlignment="1">
      <alignment horizontal="center"/>
    </xf>
    <xf numFmtId="0" fontId="7" fillId="0" borderId="0" xfId="0" applyFont="1" applyAlignment="1">
      <alignment horizontal="center" vertical="center"/>
    </xf>
    <xf numFmtId="2" fontId="7" fillId="0" borderId="0" xfId="0" applyNumberFormat="1" applyFont="1" applyAlignment="1">
      <alignment vertical="center"/>
    </xf>
    <xf numFmtId="0" fontId="9" fillId="0" borderId="0" xfId="14" applyFont="1" applyAlignment="1">
      <alignment horizontal="center" vertical="center"/>
    </xf>
    <xf numFmtId="0" fontId="8" fillId="0" borderId="0" xfId="14" applyFont="1" applyAlignment="1">
      <alignment horizontal="center" vertical="center"/>
    </xf>
    <xf numFmtId="0" fontId="8" fillId="0" borderId="0" xfId="0" applyFont="1" applyAlignment="1">
      <alignment horizontal="center" vertical="center" wrapText="1"/>
    </xf>
    <xf numFmtId="2" fontId="8" fillId="0" borderId="0" xfId="0" applyNumberFormat="1" applyFont="1" applyAlignment="1">
      <alignment horizontal="left" vertical="center" wrapText="1"/>
    </xf>
    <xf numFmtId="0" fontId="9" fillId="0" borderId="0" xfId="14" applyFont="1" applyAlignment="1">
      <alignment vertical="center" wrapText="1"/>
    </xf>
    <xf numFmtId="0" fontId="10" fillId="0" borderId="0" xfId="0" applyFont="1" applyAlignment="1">
      <alignment horizontal="center" vertical="center"/>
    </xf>
    <xf numFmtId="2" fontId="10" fillId="0" borderId="0" xfId="0" applyNumberFormat="1" applyFont="1" applyAlignment="1">
      <alignment horizontal="center" vertical="center"/>
    </xf>
    <xf numFmtId="0" fontId="9" fillId="0" borderId="0" xfId="0" applyFont="1" applyAlignment="1">
      <alignment horizontal="right" vertical="center"/>
    </xf>
    <xf numFmtId="4" fontId="9" fillId="0" borderId="0" xfId="0" applyNumberFormat="1" applyFont="1" applyAlignment="1">
      <alignment horizontal="center" vertical="center" wrapText="1"/>
    </xf>
    <xf numFmtId="0" fontId="8" fillId="0" borderId="0" xfId="15" applyFont="1" applyAlignment="1">
      <alignment horizontal="left"/>
    </xf>
    <xf numFmtId="0" fontId="8" fillId="0" borderId="0" xfId="15" applyFont="1" applyAlignment="1">
      <alignment horizontal="left" vertical="center"/>
    </xf>
    <xf numFmtId="0" fontId="10" fillId="0" borderId="1" xfId="0" applyFont="1" applyBorder="1" applyAlignment="1">
      <alignment horizontal="center" vertical="center"/>
    </xf>
    <xf numFmtId="0" fontId="7" fillId="0" borderId="1" xfId="0" applyFont="1" applyBorder="1" applyAlignment="1">
      <alignment horizontal="center" vertical="center"/>
    </xf>
    <xf numFmtId="0" fontId="12" fillId="0" borderId="1" xfId="0" applyFont="1" applyBorder="1" applyAlignment="1">
      <alignment horizontal="center" vertical="center" wrapText="1"/>
    </xf>
    <xf numFmtId="16" fontId="12"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xf>
    <xf numFmtId="2" fontId="8"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4" fontId="7" fillId="0" borderId="1" xfId="0" applyNumberFormat="1" applyFont="1" applyBorder="1" applyAlignment="1">
      <alignment horizontal="right" vertical="center"/>
    </xf>
    <xf numFmtId="4" fontId="12" fillId="0" borderId="1" xfId="0" applyNumberFormat="1" applyFont="1" applyBorder="1" applyAlignment="1">
      <alignment horizontal="right" vertical="center"/>
    </xf>
    <xf numFmtId="2" fontId="8" fillId="0" borderId="0" xfId="0" applyNumberFormat="1" applyFont="1" applyAlignment="1">
      <alignment vertical="center"/>
    </xf>
    <xf numFmtId="0" fontId="8" fillId="0" borderId="0" xfId="15" applyFont="1" applyAlignment="1">
      <alignment horizontal="center"/>
    </xf>
    <xf numFmtId="0" fontId="8" fillId="0" borderId="0" xfId="11" applyFont="1" applyAlignment="1">
      <alignment horizontal="center" wrapText="1"/>
    </xf>
    <xf numFmtId="0" fontId="9" fillId="0" borderId="0" xfId="14" applyFont="1" applyAlignment="1">
      <alignment horizontal="left" vertical="center"/>
    </xf>
    <xf numFmtId="0" fontId="7" fillId="0" borderId="1" xfId="0" applyFont="1" applyBorder="1" applyAlignment="1">
      <alignment vertic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vertical="center"/>
    </xf>
    <xf numFmtId="4" fontId="9" fillId="0" borderId="0" xfId="0" applyNumberFormat="1" applyFont="1" applyAlignment="1">
      <alignment horizontal="right" vertical="center"/>
    </xf>
    <xf numFmtId="4" fontId="8" fillId="0" borderId="1" xfId="0" applyNumberFormat="1" applyFont="1" applyBorder="1" applyAlignment="1">
      <alignment horizontal="right" vertical="center"/>
    </xf>
    <xf numFmtId="0" fontId="15" fillId="0" borderId="1" xfId="0" applyFont="1" applyBorder="1" applyAlignment="1">
      <alignment horizontal="center" vertical="center" wrapText="1"/>
    </xf>
    <xf numFmtId="0" fontId="14" fillId="0" borderId="1" xfId="0" applyFont="1" applyBorder="1" applyAlignment="1">
      <alignment horizontal="right" vertical="center" wrapText="1"/>
    </xf>
    <xf numFmtId="2" fontId="14" fillId="0" borderId="1" xfId="0" applyNumberFormat="1" applyFont="1" applyBorder="1" applyAlignment="1">
      <alignment horizontal="center" vertical="center"/>
    </xf>
    <xf numFmtId="0" fontId="7" fillId="0" borderId="1" xfId="0" applyFont="1" applyBorder="1" applyAlignment="1">
      <alignment horizontal="left" vertical="center" wrapText="1"/>
    </xf>
    <xf numFmtId="2" fontId="7" fillId="0" borderId="0" xfId="0" applyNumberFormat="1" applyFont="1" applyAlignment="1">
      <alignment horizontal="center" vertical="center"/>
    </xf>
    <xf numFmtId="0" fontId="8" fillId="0" borderId="1" xfId="0" applyFont="1" applyBorder="1" applyAlignment="1">
      <alignment vertical="center" wrapText="1"/>
    </xf>
    <xf numFmtId="4" fontId="7" fillId="0" borderId="0" xfId="0" applyNumberFormat="1" applyFont="1" applyAlignment="1">
      <alignment vertical="center"/>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1" fontId="8" fillId="0" borderId="1" xfId="0" applyNumberFormat="1" applyFont="1" applyBorder="1" applyAlignment="1">
      <alignment horizontal="center" vertical="center"/>
    </xf>
    <xf numFmtId="0" fontId="8" fillId="0" borderId="2" xfId="0" applyFont="1" applyBorder="1" applyAlignment="1">
      <alignment vertical="center"/>
    </xf>
    <xf numFmtId="0" fontId="9" fillId="0" borderId="1" xfId="0" applyFont="1" applyBorder="1" applyAlignment="1">
      <alignment horizontal="center" vertical="center"/>
    </xf>
    <xf numFmtId="0" fontId="8" fillId="0" borderId="0" xfId="11" applyFont="1" applyAlignment="1">
      <alignment wrapText="1"/>
    </xf>
    <xf numFmtId="0" fontId="7" fillId="2" borderId="0" xfId="0" applyFont="1" applyFill="1" applyAlignment="1">
      <alignment vertical="center"/>
    </xf>
    <xf numFmtId="0" fontId="7" fillId="2" borderId="0" xfId="0" applyFont="1" applyFill="1" applyAlignment="1">
      <alignment horizontal="center" vertical="center"/>
    </xf>
    <xf numFmtId="0" fontId="9" fillId="2" borderId="0" xfId="14" applyFont="1" applyFill="1" applyAlignment="1">
      <alignment horizontal="left" vertical="center"/>
    </xf>
    <xf numFmtId="0" fontId="8" fillId="2" borderId="0" xfId="14" applyFont="1" applyFill="1" applyAlignment="1">
      <alignment horizontal="center" vertical="center"/>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9" fillId="2" borderId="0" xfId="14" applyFont="1" applyFill="1" applyAlignment="1">
      <alignment vertical="center" wrapText="1"/>
    </xf>
    <xf numFmtId="0" fontId="8" fillId="2" borderId="0" xfId="0" applyFont="1" applyFill="1" applyAlignment="1">
      <alignment vertical="center"/>
    </xf>
    <xf numFmtId="0" fontId="9" fillId="2" borderId="0" xfId="14" applyFont="1" applyFill="1" applyAlignment="1">
      <alignment horizontal="center" vertical="center"/>
    </xf>
    <xf numFmtId="0" fontId="10" fillId="2" borderId="0" xfId="0" applyFont="1" applyFill="1" applyAlignment="1">
      <alignment horizontal="center" vertical="center"/>
    </xf>
    <xf numFmtId="0" fontId="9" fillId="2" borderId="0" xfId="0" applyFont="1" applyFill="1" applyAlignment="1">
      <alignment horizontal="right" vertical="center"/>
    </xf>
    <xf numFmtId="4" fontId="9" fillId="2" borderId="0" xfId="0" applyNumberFormat="1" applyFont="1" applyFill="1" applyAlignment="1">
      <alignment horizontal="center" vertical="center" wrapText="1"/>
    </xf>
    <xf numFmtId="0" fontId="8" fillId="2" borderId="0" xfId="15" applyFont="1" applyFill="1" applyAlignment="1">
      <alignment horizontal="right"/>
    </xf>
    <xf numFmtId="0" fontId="8" fillId="2" borderId="0" xfId="15" applyFont="1" applyFill="1" applyAlignment="1">
      <alignment horizontal="left" vertical="center"/>
    </xf>
    <xf numFmtId="0" fontId="7"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2" fontId="12" fillId="2" borderId="1" xfId="0" applyNumberFormat="1" applyFont="1" applyFill="1" applyBorder="1" applyAlignment="1">
      <alignment horizontal="center" vertical="center"/>
    </xf>
    <xf numFmtId="4" fontId="7" fillId="2" borderId="1" xfId="0" applyNumberFormat="1" applyFont="1" applyFill="1" applyBorder="1" applyAlignment="1">
      <alignment horizontal="right" vertical="center"/>
    </xf>
    <xf numFmtId="0" fontId="15" fillId="2" borderId="1" xfId="0" applyFont="1" applyFill="1" applyBorder="1" applyAlignment="1">
      <alignment horizontal="center" vertical="center" wrapText="1"/>
    </xf>
    <xf numFmtId="0" fontId="17" fillId="2" borderId="1" xfId="0" applyFont="1" applyFill="1" applyBorder="1" applyAlignment="1">
      <alignment vertical="center"/>
    </xf>
    <xf numFmtId="0" fontId="17" fillId="2" borderId="1" xfId="0" applyFont="1" applyFill="1" applyBorder="1" applyAlignment="1">
      <alignment horizontal="center" vertical="center"/>
    </xf>
    <xf numFmtId="4" fontId="7"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xf>
    <xf numFmtId="0" fontId="17" fillId="2" borderId="1" xfId="0" applyFont="1" applyFill="1" applyBorder="1" applyAlignment="1">
      <alignment vertical="center" wrapText="1"/>
    </xf>
    <xf numFmtId="0" fontId="17" fillId="2" borderId="1" xfId="0" applyFont="1" applyFill="1" applyBorder="1" applyAlignment="1">
      <alignment wrapText="1"/>
    </xf>
    <xf numFmtId="0" fontId="17" fillId="2" borderId="1" xfId="0" applyFont="1" applyFill="1" applyBorder="1" applyAlignment="1">
      <alignment horizontal="left"/>
    </xf>
    <xf numFmtId="0" fontId="19" fillId="2" borderId="1" xfId="0" applyFont="1" applyFill="1" applyBorder="1" applyAlignment="1">
      <alignment horizontal="center"/>
    </xf>
    <xf numFmtId="0" fontId="19" fillId="2" borderId="1" xfId="0" applyFont="1" applyFill="1" applyBorder="1" applyAlignment="1">
      <alignment horizontal="left"/>
    </xf>
    <xf numFmtId="0" fontId="7" fillId="2" borderId="1" xfId="0" applyFont="1" applyFill="1" applyBorder="1" applyAlignment="1">
      <alignment vertical="center"/>
    </xf>
    <xf numFmtId="4" fontId="12" fillId="2" borderId="1" xfId="0" applyNumberFormat="1" applyFont="1" applyFill="1" applyBorder="1" applyAlignment="1">
      <alignment horizontal="right" vertical="center"/>
    </xf>
    <xf numFmtId="0" fontId="9" fillId="2" borderId="0" xfId="0" applyFont="1" applyFill="1" applyAlignment="1">
      <alignment vertical="center"/>
    </xf>
    <xf numFmtId="0" fontId="8" fillId="2" borderId="0" xfId="11" applyFont="1" applyFill="1"/>
    <xf numFmtId="0" fontId="8" fillId="2" borderId="2" xfId="11" applyFont="1" applyFill="1" applyBorder="1"/>
    <xf numFmtId="0" fontId="8" fillId="2" borderId="0" xfId="15" applyFont="1" applyFill="1" applyAlignment="1">
      <alignment horizontal="center"/>
    </xf>
    <xf numFmtId="0" fontId="8" fillId="2" borderId="0" xfId="15" applyFont="1" applyFill="1"/>
    <xf numFmtId="0" fontId="8" fillId="2" borderId="0" xfId="11" applyFont="1" applyFill="1" applyAlignment="1">
      <alignment horizontal="center" wrapText="1"/>
    </xf>
    <xf numFmtId="0" fontId="8" fillId="2" borderId="0" xfId="0" applyFont="1" applyFill="1" applyAlignment="1">
      <alignment horizontal="center" vertical="center"/>
    </xf>
    <xf numFmtId="0" fontId="8" fillId="0" borderId="0" xfId="15" applyFont="1" applyAlignment="1">
      <alignment horizontal="right"/>
    </xf>
    <xf numFmtId="0" fontId="17" fillId="2" borderId="1" xfId="6" applyFont="1" applyFill="1" applyBorder="1" applyAlignment="1">
      <alignment vertical="center"/>
    </xf>
    <xf numFmtId="0" fontId="17" fillId="2" borderId="1" xfId="6" applyFont="1" applyFill="1" applyBorder="1" applyAlignment="1">
      <alignment horizontal="center" vertical="center"/>
    </xf>
    <xf numFmtId="0" fontId="17" fillId="2" borderId="1" xfId="6" applyFont="1" applyFill="1" applyBorder="1" applyAlignment="1">
      <alignment vertical="center" wrapText="1"/>
    </xf>
    <xf numFmtId="0" fontId="20" fillId="0" borderId="0" xfId="2" applyNumberFormat="1" applyFill="1" applyBorder="1" applyAlignment="1" applyProtection="1">
      <alignment vertical="center"/>
    </xf>
    <xf numFmtId="0" fontId="17" fillId="0" borderId="1" xfId="0" applyFont="1" applyBorder="1" applyAlignment="1">
      <alignment vertical="center"/>
    </xf>
    <xf numFmtId="0" fontId="17" fillId="0" borderId="1" xfId="0" applyFont="1" applyBorder="1" applyAlignment="1">
      <alignment horizontal="center" vertical="center"/>
    </xf>
    <xf numFmtId="0" fontId="19" fillId="0" borderId="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vertical="center"/>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2" fontId="22" fillId="0" borderId="4" xfId="0" applyNumberFormat="1" applyFont="1" applyBorder="1" applyAlignment="1">
      <alignment horizontal="center" vertical="center"/>
    </xf>
    <xf numFmtId="0" fontId="22" fillId="0" borderId="1" xfId="7" applyFont="1" applyBorder="1" applyAlignment="1">
      <alignment horizontal="left" vertical="center" wrapText="1"/>
    </xf>
    <xf numFmtId="49" fontId="22" fillId="0" borderId="1" xfId="16" applyNumberFormat="1" applyFont="1" applyBorder="1" applyAlignment="1">
      <alignment horizontal="center" vertical="center"/>
    </xf>
    <xf numFmtId="0" fontId="22" fillId="0" borderId="1" xfId="16" applyFont="1" applyBorder="1" applyAlignment="1">
      <alignment horizontal="center" vertical="center"/>
    </xf>
    <xf numFmtId="0" fontId="22" fillId="0" borderId="1" xfId="0" applyFont="1" applyBorder="1" applyAlignment="1">
      <alignment horizontal="left" wrapText="1"/>
    </xf>
    <xf numFmtId="2" fontId="22" fillId="0" borderId="1" xfId="0" applyNumberFormat="1" applyFont="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xf>
    <xf numFmtId="0" fontId="22" fillId="0" borderId="1" xfId="18" applyFont="1" applyBorder="1" applyAlignment="1">
      <alignment vertical="center" wrapText="1"/>
    </xf>
    <xf numFmtId="0" fontId="22" fillId="0" borderId="1" xfId="7" applyFont="1" applyBorder="1" applyAlignment="1">
      <alignment horizontal="center" vertical="center" wrapText="1"/>
    </xf>
    <xf numFmtId="1" fontId="22" fillId="0" borderId="1" xfId="18" applyNumberFormat="1" applyFont="1" applyBorder="1" applyAlignment="1">
      <alignment horizontal="center" vertical="center"/>
    </xf>
    <xf numFmtId="49" fontId="22" fillId="0" borderId="1" xfId="16" applyNumberFormat="1" applyFont="1" applyBorder="1" applyAlignment="1">
      <alignment horizontal="left" vertical="center"/>
    </xf>
    <xf numFmtId="0" fontId="22" fillId="0" borderId="1" xfId="7" applyFont="1" applyBorder="1" applyAlignment="1">
      <alignment horizontal="left" vertical="top" wrapText="1"/>
    </xf>
    <xf numFmtId="0" fontId="22" fillId="0" borderId="1" xfId="7" applyFont="1" applyBorder="1" applyAlignment="1">
      <alignment horizontal="center" vertical="center"/>
    </xf>
    <xf numFmtId="0" fontId="22" fillId="0" borderId="1" xfId="7" applyFont="1" applyBorder="1" applyAlignment="1">
      <alignment vertical="center"/>
    </xf>
    <xf numFmtId="0" fontId="23" fillId="0" borderId="1" xfId="18" applyFont="1" applyBorder="1" applyAlignment="1">
      <alignment horizontal="center" vertical="center" wrapText="1"/>
    </xf>
    <xf numFmtId="0" fontId="24" fillId="0" borderId="1" xfId="18" applyFont="1" applyBorder="1" applyAlignment="1">
      <alignment vertical="center" wrapText="1"/>
    </xf>
    <xf numFmtId="0" fontId="24" fillId="0" borderId="1" xfId="18" applyFont="1" applyBorder="1" applyAlignment="1">
      <alignment horizontal="center" vertical="center" wrapText="1"/>
    </xf>
    <xf numFmtId="0" fontId="22" fillId="0" borderId="5" xfId="0" applyFont="1" applyBorder="1" applyAlignment="1">
      <alignment horizontal="center" vertical="center"/>
    </xf>
    <xf numFmtId="0" fontId="22" fillId="0" borderId="4" xfId="0" applyFont="1" applyBorder="1" applyAlignment="1">
      <alignment horizontal="center" vertical="center"/>
    </xf>
    <xf numFmtId="49" fontId="23" fillId="0" borderId="1" xfId="16" applyNumberFormat="1" applyFont="1" applyBorder="1" applyAlignment="1">
      <alignment horizontal="center" vertical="center"/>
    </xf>
    <xf numFmtId="49" fontId="23" fillId="0" borderId="1" xfId="16" applyNumberFormat="1" applyFont="1" applyBorder="1" applyAlignment="1">
      <alignment vertical="center"/>
    </xf>
    <xf numFmtId="0" fontId="22" fillId="0" borderId="1" xfId="19" applyFont="1" applyBorder="1" applyAlignment="1">
      <alignment vertical="center" wrapText="1"/>
    </xf>
    <xf numFmtId="0" fontId="22" fillId="0" borderId="1" xfId="18" applyFont="1" applyBorder="1" applyAlignment="1">
      <alignment horizontal="left" vertical="center" wrapText="1"/>
    </xf>
    <xf numFmtId="0" fontId="22" fillId="0" borderId="1" xfId="18" applyFont="1" applyBorder="1" applyAlignment="1">
      <alignment horizontal="center" vertical="center"/>
    </xf>
    <xf numFmtId="0" fontId="22" fillId="0" borderId="1" xfId="18" applyFont="1" applyBorder="1" applyAlignment="1">
      <alignment horizontal="center" vertical="center" wrapText="1"/>
    </xf>
    <xf numFmtId="0" fontId="25" fillId="0" borderId="0" xfId="0" applyFont="1" applyAlignment="1">
      <alignment vertical="center"/>
    </xf>
    <xf numFmtId="0" fontId="8" fillId="0" borderId="2" xfId="11" applyFont="1" applyBorder="1" applyAlignment="1">
      <alignment horizontal="center" vertical="center"/>
    </xf>
    <xf numFmtId="0" fontId="8" fillId="0" borderId="0" xfId="11" applyFont="1" applyAlignment="1">
      <alignment horizontal="center" vertical="center" wrapText="1"/>
    </xf>
    <xf numFmtId="0" fontId="22" fillId="0" borderId="1" xfId="9" applyFont="1" applyBorder="1" applyAlignment="1">
      <alignment horizontal="center" vertical="center" wrapText="1"/>
    </xf>
    <xf numFmtId="0" fontId="22" fillId="0" borderId="1" xfId="0" applyFont="1" applyBorder="1" applyAlignment="1">
      <alignment horizontal="center"/>
    </xf>
    <xf numFmtId="2" fontId="22" fillId="0" borderId="1" xfId="0" applyNumberFormat="1" applyFont="1" applyBorder="1" applyAlignment="1">
      <alignment horizontal="center"/>
    </xf>
    <xf numFmtId="0" fontId="22" fillId="0" borderId="1" xfId="16" applyFont="1" applyBorder="1" applyAlignment="1">
      <alignment horizontal="left" vertical="center" wrapText="1"/>
    </xf>
    <xf numFmtId="0" fontId="22" fillId="0" borderId="1" xfId="11" applyFont="1" applyBorder="1" applyAlignment="1">
      <alignment horizontal="center" vertical="center"/>
    </xf>
    <xf numFmtId="1" fontId="22" fillId="0" borderId="1" xfId="11" applyNumberFormat="1" applyFont="1" applyBorder="1" applyAlignment="1">
      <alignment horizontal="center" vertical="center"/>
    </xf>
    <xf numFmtId="0" fontId="22" fillId="0" borderId="1" xfId="11" applyFont="1" applyBorder="1" applyAlignment="1">
      <alignment horizontal="left" vertical="center"/>
    </xf>
    <xf numFmtId="49" fontId="22" fillId="0" borderId="1" xfId="16" applyNumberFormat="1" applyFont="1" applyBorder="1" applyAlignment="1">
      <alignment horizontal="left" vertical="center" wrapText="1"/>
    </xf>
    <xf numFmtId="1" fontId="22" fillId="0" borderId="1" xfId="16" applyNumberFormat="1" applyFont="1" applyBorder="1" applyAlignment="1">
      <alignment horizontal="center" vertical="center"/>
    </xf>
    <xf numFmtId="49" fontId="24" fillId="0" borderId="1" xfId="16" applyNumberFormat="1" applyFont="1" applyBorder="1" applyAlignment="1">
      <alignment horizontal="center" vertical="center"/>
    </xf>
    <xf numFmtId="1" fontId="22" fillId="0" borderId="1" xfId="9" applyNumberFormat="1" applyFont="1" applyBorder="1" applyAlignment="1">
      <alignment horizontal="center" vertical="center"/>
    </xf>
    <xf numFmtId="0" fontId="22" fillId="0" borderId="1" xfId="16" applyFont="1" applyBorder="1" applyAlignment="1">
      <alignment horizontal="center"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center"/>
    </xf>
    <xf numFmtId="2" fontId="22" fillId="2" borderId="1" xfId="0" applyNumberFormat="1" applyFont="1" applyFill="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8" fillId="0" borderId="1" xfId="15"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2" fontId="11"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0" fontId="8"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left" vertical="center" wrapText="1"/>
    </xf>
    <xf numFmtId="0" fontId="8" fillId="0" borderId="2" xfId="11" applyFont="1" applyBorder="1" applyAlignment="1">
      <alignment horizontal="left"/>
    </xf>
    <xf numFmtId="0" fontId="8" fillId="0" borderId="3" xfId="11" applyFont="1" applyBorder="1" applyAlignment="1">
      <alignment horizontal="center" wrapText="1"/>
    </xf>
    <xf numFmtId="0" fontId="8" fillId="0" borderId="1" xfId="15" applyFont="1" applyBorder="1" applyAlignment="1">
      <alignment horizontal="center" vertical="center" wrapText="1"/>
    </xf>
    <xf numFmtId="0" fontId="8" fillId="0" borderId="0" xfId="15" applyFont="1" applyAlignment="1">
      <alignment horizontal="left" wrapText="1"/>
    </xf>
    <xf numFmtId="0" fontId="8" fillId="0" borderId="2" xfId="11" applyFont="1" applyBorder="1" applyAlignment="1">
      <alignment horizontal="center"/>
    </xf>
    <xf numFmtId="0" fontId="8" fillId="0" borderId="1" xfId="15" applyFont="1" applyBorder="1" applyAlignment="1">
      <alignment horizontal="center" vertical="center"/>
    </xf>
    <xf numFmtId="0" fontId="8" fillId="0" borderId="0" xfId="0" applyFont="1" applyAlignment="1">
      <alignment horizontal="right" vertical="center"/>
    </xf>
    <xf numFmtId="0" fontId="9" fillId="0" borderId="0" xfId="0" applyFont="1" applyAlignment="1">
      <alignment horizontal="center"/>
    </xf>
    <xf numFmtId="0" fontId="8" fillId="0" borderId="0" xfId="0" applyFont="1" applyAlignment="1">
      <alignment horizontal="center" wrapText="1"/>
    </xf>
    <xf numFmtId="2" fontId="8" fillId="0" borderId="0" xfId="0" applyNumberFormat="1" applyFont="1" applyAlignment="1">
      <alignment horizontal="left" vertical="center" wrapText="1"/>
    </xf>
    <xf numFmtId="0" fontId="11" fillId="0" borderId="1" xfId="0" applyFont="1" applyBorder="1" applyAlignment="1">
      <alignment horizontal="center" vertical="center"/>
    </xf>
    <xf numFmtId="0" fontId="12" fillId="0" borderId="1" xfId="0" applyFont="1" applyBorder="1" applyAlignment="1">
      <alignment horizontal="right" vertical="center"/>
    </xf>
    <xf numFmtId="0" fontId="8" fillId="0" borderId="0" xfId="0" applyFont="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2" fontId="11" fillId="0" borderId="1" xfId="0" applyNumberFormat="1" applyFont="1" applyBorder="1" applyAlignment="1">
      <alignment horizontal="center" vertical="center" wrapText="1"/>
    </xf>
    <xf numFmtId="0" fontId="8" fillId="0" borderId="0" xfId="11" applyFont="1" applyAlignment="1">
      <alignment horizontal="center" wrapText="1"/>
    </xf>
    <xf numFmtId="2" fontId="9" fillId="0" borderId="0" xfId="0" applyNumberFormat="1" applyFont="1" applyAlignment="1">
      <alignment horizontal="center" vertical="center"/>
    </xf>
    <xf numFmtId="0" fontId="8" fillId="2" borderId="0" xfId="0" applyFont="1" applyFill="1" applyAlignment="1">
      <alignment horizontal="center" vertical="center"/>
    </xf>
    <xf numFmtId="0" fontId="11"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2" fillId="2" borderId="1" xfId="0" applyFont="1" applyFill="1" applyBorder="1" applyAlignment="1">
      <alignment horizontal="right" vertical="center"/>
    </xf>
    <xf numFmtId="0" fontId="8" fillId="2" borderId="3" xfId="11" applyFont="1" applyFill="1" applyBorder="1" applyAlignment="1">
      <alignment horizontal="center" wrapText="1"/>
    </xf>
    <xf numFmtId="0" fontId="8" fillId="2" borderId="0" xfId="11" applyFont="1" applyFill="1" applyAlignment="1">
      <alignment horizontal="center" wrapText="1"/>
    </xf>
    <xf numFmtId="2" fontId="8" fillId="2" borderId="0" xfId="0" applyNumberFormat="1" applyFont="1" applyFill="1" applyAlignment="1">
      <alignment horizontal="left" vertical="center" wrapText="1"/>
    </xf>
    <xf numFmtId="0" fontId="9" fillId="2" borderId="0" xfId="0" applyFont="1" applyFill="1" applyAlignment="1">
      <alignment horizontal="center" vertical="center"/>
    </xf>
  </cellXfs>
  <cellStyles count="23">
    <cellStyle name="Comma" xfId="1" builtinId="3"/>
    <cellStyle name="Comma 2 2 2" xfId="3" xr:uid="{D0322DF9-55A0-448E-830E-46D7075DEE8B}"/>
    <cellStyle name="Comma 5" xfId="4" xr:uid="{77CF7912-DDBD-443E-9134-FF07D1C1A699}"/>
    <cellStyle name="Hyperlink" xfId="2" builtinId="8"/>
    <cellStyle name="Komats 4" xfId="5" xr:uid="{26440CD5-1590-4971-A273-98D9E262732E}"/>
    <cellStyle name="Normal" xfId="0" builtinId="0"/>
    <cellStyle name="Normal 10 3" xfId="6" xr:uid="{9AC26EB6-E7EF-4DDC-A642-BF2FA92543FF}"/>
    <cellStyle name="Normal 11 2" xfId="7" xr:uid="{ECCF9DF7-E40A-4A3E-B1BC-2BEB71732512}"/>
    <cellStyle name="Normal 12" xfId="8" xr:uid="{D1355E98-B89D-452E-9438-BFECB493D436}"/>
    <cellStyle name="Normal 12 2" xfId="9" xr:uid="{6510E18A-0BA2-4D88-BF9B-0A113BCF8605}"/>
    <cellStyle name="Normal 2" xfId="10" xr:uid="{00EF4546-86C3-4F12-A831-B41C9B03C657}"/>
    <cellStyle name="Normal 3" xfId="11" xr:uid="{3BBC9FF9-A4C4-4207-8FAA-90BA179857D6}"/>
    <cellStyle name="Normal 3 2 9" xfId="12" xr:uid="{4166CC18-736F-4C74-AF55-F25684EE7E79}"/>
    <cellStyle name="Normal 4" xfId="13" xr:uid="{A6A0CC29-1CAF-43B9-93B5-259284D334D7}"/>
    <cellStyle name="Normal_1 gimnazija_18_09_2007_ar_formulam" xfId="14" xr:uid="{28967636-3681-45C9-B028-A877F431A971}"/>
    <cellStyle name="Normal_501-06tames forma" xfId="15" xr:uid="{5637A54C-93D9-4730-9887-5375D2729152}"/>
    <cellStyle name="Normal_Bill x.1 2" xfId="16" xr:uid="{5F37223F-CBE5-464E-88DC-4EEBB11E3604}"/>
    <cellStyle name="Normal_Sheet1" xfId="17" xr:uid="{4F997812-732D-4B67-8237-C9694BB3E6E7}"/>
    <cellStyle name="Parasts 2" xfId="18" xr:uid="{722612F1-E2AA-4B4C-9F2D-33838208E420}"/>
    <cellStyle name="Parasts 3" xfId="19" xr:uid="{81B69225-547C-44D0-98E6-AF73F496469A}"/>
    <cellStyle name="Parasts 4" xfId="20" xr:uid="{4DCBCCAD-304D-4BCA-9BE1-952EB1D0DDEC}"/>
    <cellStyle name="Style 1" xfId="21" xr:uid="{F4718DD3-AF2D-4D0D-996B-B42E0DFA3A20}"/>
    <cellStyle name="Обычный_33. OZOLNIEKU NOVADA DOME_OZO SKOLA_TELPU, GAITENU, KAPNU TELPU REMONTS_TAME_VADIMS_2011_02_25_melnraksts" xfId="22" xr:uid="{36E19E24-1DF1-46AE-940B-C3F764CA9E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03FD-1723-4C33-8EF0-605921BC9FC3}">
  <dimension ref="A1:H31"/>
  <sheetViews>
    <sheetView showZeros="0" topLeftCell="A12" zoomScale="175" zoomScaleNormal="175" zoomScaleSheetLayoutView="120" workbookViewId="0">
      <selection activeCell="A29" sqref="A29"/>
    </sheetView>
  </sheetViews>
  <sheetFormatPr defaultColWidth="8.85546875" defaultRowHeight="12" x14ac:dyDescent="0.2"/>
  <cols>
    <col min="1" max="1" width="8.85546875" style="1"/>
    <col min="2" max="2" width="60.85546875" style="1" customWidth="1"/>
    <col min="3" max="3" width="15.85546875" style="1" customWidth="1"/>
    <col min="4" max="16384" width="8.85546875" style="1"/>
  </cols>
  <sheetData>
    <row r="1" spans="1:8" s="5" customFormat="1" x14ac:dyDescent="0.2">
      <c r="A1" s="2"/>
      <c r="B1" s="3"/>
      <c r="C1" s="4"/>
    </row>
    <row r="2" spans="1:8" s="5" customFormat="1" x14ac:dyDescent="0.2"/>
    <row r="3" spans="1:8" s="5" customFormat="1" x14ac:dyDescent="0.2">
      <c r="A3" s="2"/>
      <c r="B3" s="3"/>
      <c r="C3" s="4"/>
    </row>
    <row r="4" spans="1:8" s="5" customFormat="1" x14ac:dyDescent="0.2">
      <c r="A4" s="2"/>
      <c r="B4" s="3"/>
      <c r="C4" s="3"/>
    </row>
    <row r="5" spans="1:8" s="5" customFormat="1" x14ac:dyDescent="0.2">
      <c r="A5" s="2"/>
      <c r="B5" s="3"/>
      <c r="C5" s="4"/>
    </row>
    <row r="6" spans="1:8" s="5" customFormat="1" x14ac:dyDescent="0.2">
      <c r="A6" s="2"/>
      <c r="B6" s="3"/>
      <c r="C6" s="3"/>
    </row>
    <row r="7" spans="1:8" s="5" customFormat="1" x14ac:dyDescent="0.2">
      <c r="A7" s="2"/>
      <c r="B7" s="3"/>
      <c r="C7" s="4"/>
    </row>
    <row r="8" spans="1:8" s="5" customFormat="1" x14ac:dyDescent="0.2">
      <c r="A8" s="2"/>
      <c r="B8" s="3"/>
      <c r="C8" s="4"/>
    </row>
    <row r="9" spans="1:8" s="5" customFormat="1" x14ac:dyDescent="0.2">
      <c r="A9" s="199" t="s">
        <v>0</v>
      </c>
      <c r="B9" s="199"/>
      <c r="C9" s="199"/>
    </row>
    <row r="10" spans="1:8" s="5" customFormat="1" x14ac:dyDescent="0.2"/>
    <row r="11" spans="1:8" s="5" customFormat="1" ht="22.15" customHeight="1" x14ac:dyDescent="0.2">
      <c r="A11" s="200" t="s">
        <v>1</v>
      </c>
      <c r="B11" s="200"/>
      <c r="C11" s="200"/>
      <c r="D11" s="6"/>
      <c r="E11" s="6"/>
      <c r="F11" s="6"/>
      <c r="G11" s="2"/>
      <c r="H11" s="7"/>
    </row>
    <row r="12" spans="1:8" s="5" customFormat="1" ht="23.1" customHeight="1" x14ac:dyDescent="0.2">
      <c r="A12" s="200" t="s">
        <v>2</v>
      </c>
      <c r="B12" s="200"/>
      <c r="C12" s="200"/>
      <c r="D12" s="6"/>
      <c r="E12" s="6"/>
      <c r="F12" s="8"/>
      <c r="G12" s="2"/>
      <c r="H12" s="7"/>
    </row>
    <row r="13" spans="1:8" s="5" customFormat="1" x14ac:dyDescent="0.2">
      <c r="A13" s="9" t="s">
        <v>3</v>
      </c>
      <c r="B13" s="6"/>
      <c r="C13" s="6"/>
      <c r="D13" s="6"/>
      <c r="E13" s="6"/>
      <c r="F13" s="6"/>
      <c r="G13" s="2"/>
      <c r="H13" s="7"/>
    </row>
    <row r="14" spans="1:8" s="5" customFormat="1" x14ac:dyDescent="0.2">
      <c r="B14" s="10"/>
    </row>
    <row r="15" spans="1:8" s="5" customFormat="1" x14ac:dyDescent="0.2">
      <c r="A15" s="11"/>
      <c r="B15" s="3"/>
    </row>
    <row r="16" spans="1:8" s="4" customFormat="1" ht="28.15" customHeight="1" x14ac:dyDescent="0.2">
      <c r="A16" s="12" t="s">
        <v>4</v>
      </c>
      <c r="B16" s="195" t="s">
        <v>5</v>
      </c>
      <c r="C16" s="12" t="s">
        <v>6</v>
      </c>
    </row>
    <row r="17" spans="1:7" s="4" customFormat="1" x14ac:dyDescent="0.2">
      <c r="A17" s="12"/>
      <c r="B17" s="195"/>
      <c r="C17" s="12"/>
    </row>
    <row r="18" spans="1:7" s="5" customFormat="1" ht="24" x14ac:dyDescent="0.2">
      <c r="A18" s="13">
        <v>1</v>
      </c>
      <c r="B18" s="14" t="s">
        <v>7</v>
      </c>
      <c r="C18" s="15">
        <f>'1.KOPS'!D30</f>
        <v>0</v>
      </c>
    </row>
    <row r="19" spans="1:7" s="5" customFormat="1" x14ac:dyDescent="0.2">
      <c r="A19" s="13"/>
      <c r="B19" s="14"/>
      <c r="C19" s="15"/>
      <c r="G19" s="4"/>
    </row>
    <row r="20" spans="1:7" s="5" customFormat="1" x14ac:dyDescent="0.2">
      <c r="A20" s="16"/>
      <c r="B20" s="17" t="s">
        <v>8</v>
      </c>
      <c r="C20" s="15">
        <f>C18</f>
        <v>0</v>
      </c>
    </row>
    <row r="21" spans="1:7" s="5" customFormat="1" ht="12.75" customHeight="1" x14ac:dyDescent="0.2">
      <c r="B21" s="9"/>
      <c r="C21" s="18"/>
    </row>
    <row r="22" spans="1:7" x14ac:dyDescent="0.2">
      <c r="A22" s="19" t="s">
        <v>9</v>
      </c>
      <c r="B22" s="201"/>
      <c r="C22" s="201"/>
    </row>
    <row r="23" spans="1:7" ht="14.65" customHeight="1" x14ac:dyDescent="0.2">
      <c r="A23" s="202" t="s">
        <v>10</v>
      </c>
      <c r="B23" s="202"/>
      <c r="C23" s="202"/>
    </row>
    <row r="24" spans="1:7" x14ac:dyDescent="0.2">
      <c r="A24" s="20" t="s">
        <v>11</v>
      </c>
      <c r="B24" s="5"/>
      <c r="C24" s="21"/>
    </row>
    <row r="25" spans="1:7" x14ac:dyDescent="0.2">
      <c r="A25" s="20"/>
      <c r="B25" s="20"/>
      <c r="C25" s="20"/>
    </row>
    <row r="26" spans="1:7" x14ac:dyDescent="0.2">
      <c r="A26" s="21"/>
      <c r="B26" s="21"/>
      <c r="C26" s="20"/>
    </row>
    <row r="27" spans="1:7" x14ac:dyDescent="0.2">
      <c r="A27" s="5"/>
      <c r="B27" s="5"/>
      <c r="C27" s="5"/>
    </row>
    <row r="28" spans="1:7" x14ac:dyDescent="0.2">
      <c r="A28" s="5" t="s">
        <v>455</v>
      </c>
      <c r="B28" s="5"/>
      <c r="C28" s="5"/>
    </row>
    <row r="29" spans="1:7" x14ac:dyDescent="0.2">
      <c r="A29" s="5"/>
      <c r="B29" s="5"/>
      <c r="C29" s="5"/>
    </row>
    <row r="30" spans="1:7" x14ac:dyDescent="0.2">
      <c r="A30" s="5"/>
      <c r="B30" s="5"/>
      <c r="C30" s="5"/>
    </row>
    <row r="31" spans="1:7" x14ac:dyDescent="0.2">
      <c r="A31" s="198" t="s">
        <v>12</v>
      </c>
      <c r="B31" s="198"/>
      <c r="C31" s="198"/>
    </row>
  </sheetData>
  <sheetProtection selectLockedCells="1" selectUnlockedCells="1"/>
  <mergeCells count="6">
    <mergeCell ref="A31:C31"/>
    <mergeCell ref="A9:C9"/>
    <mergeCell ref="A11:C11"/>
    <mergeCell ref="A12:C12"/>
    <mergeCell ref="B22:C22"/>
    <mergeCell ref="A23:C23"/>
  </mergeCells>
  <printOptions horizontalCentered="1"/>
  <pageMargins left="1.1812499999999999" right="0.39374999999999999" top="0.78749999999999998" bottom="0.39374999999999999" header="0.51180555555555551" footer="0.51180555555555551"/>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C2638-4185-4AF9-B7D7-C6A302F70329}">
  <dimension ref="A1:Q72"/>
  <sheetViews>
    <sheetView showZeros="0" tabSelected="1" workbookViewId="0">
      <selection activeCell="I17" sqref="I17"/>
    </sheetView>
  </sheetViews>
  <sheetFormatPr defaultColWidth="8.85546875" defaultRowHeight="12" x14ac:dyDescent="0.2"/>
  <cols>
    <col min="1" max="1" width="5.85546875" style="1" customWidth="1"/>
    <col min="2" max="2" width="5.85546875" style="45" customWidth="1"/>
    <col min="3" max="3" width="41" style="45" customWidth="1"/>
    <col min="4" max="5" width="8.85546875" style="45"/>
    <col min="6" max="11" width="8.85546875" style="1"/>
    <col min="12" max="16" width="11.85546875" style="1" customWidth="1"/>
    <col min="17" max="16384" width="8.85546875" style="1"/>
  </cols>
  <sheetData>
    <row r="1" spans="1:17" x14ac:dyDescent="0.2">
      <c r="A1" s="199" t="s">
        <v>415</v>
      </c>
      <c r="B1" s="199"/>
      <c r="C1" s="199"/>
      <c r="D1" s="199"/>
      <c r="E1" s="199"/>
      <c r="F1" s="199"/>
      <c r="G1" s="199"/>
      <c r="H1" s="199"/>
      <c r="I1" s="199"/>
      <c r="J1" s="199"/>
      <c r="K1" s="199"/>
      <c r="L1" s="199"/>
      <c r="M1" s="199"/>
      <c r="N1" s="199"/>
      <c r="O1" s="199"/>
      <c r="P1" s="199"/>
      <c r="Q1" s="199"/>
    </row>
    <row r="2" spans="1:17" x14ac:dyDescent="0.2">
      <c r="A2" s="199" t="s">
        <v>40</v>
      </c>
      <c r="B2" s="199"/>
      <c r="C2" s="199"/>
      <c r="D2" s="199"/>
      <c r="E2" s="199"/>
      <c r="F2" s="199"/>
      <c r="G2" s="199"/>
      <c r="H2" s="199"/>
      <c r="I2" s="199"/>
      <c r="J2" s="199"/>
      <c r="K2" s="199"/>
      <c r="L2" s="199"/>
      <c r="M2" s="199"/>
      <c r="N2" s="199"/>
      <c r="O2" s="199"/>
      <c r="P2" s="199"/>
      <c r="Q2" s="199"/>
    </row>
    <row r="3" spans="1:17" x14ac:dyDescent="0.2">
      <c r="A3" s="213" t="s">
        <v>46</v>
      </c>
      <c r="B3" s="213"/>
      <c r="C3" s="213"/>
      <c r="D3" s="213"/>
      <c r="E3" s="213"/>
      <c r="F3" s="213"/>
      <c r="G3" s="213"/>
      <c r="H3" s="213"/>
      <c r="I3" s="213"/>
      <c r="J3" s="213"/>
      <c r="K3" s="213"/>
      <c r="L3" s="213"/>
      <c r="M3" s="213"/>
      <c r="N3" s="213"/>
      <c r="O3" s="213"/>
      <c r="P3" s="213"/>
    </row>
    <row r="4" spans="1:17" x14ac:dyDescent="0.2">
      <c r="A4" s="70"/>
      <c r="B4" s="48"/>
      <c r="C4" s="48"/>
      <c r="D4" s="49"/>
      <c r="E4" s="49"/>
      <c r="F4" s="7"/>
      <c r="G4" s="7"/>
      <c r="H4" s="2"/>
      <c r="I4" s="7"/>
      <c r="J4" s="7"/>
      <c r="K4" s="7"/>
      <c r="L4" s="7"/>
      <c r="M4" s="7"/>
      <c r="N4" s="7"/>
      <c r="O4" s="7"/>
    </row>
    <row r="5" spans="1:17" ht="22.5" customHeight="1" x14ac:dyDescent="0.2">
      <c r="A5" s="210" t="str">
        <f>Koptāme!$A$11</f>
        <v>Objekta nosaukums: Slaucamo govju kūts jaunbūve īpašumā
"Vecsašava"</v>
      </c>
      <c r="B5" s="210"/>
      <c r="C5" s="210"/>
      <c r="D5" s="210"/>
      <c r="E5" s="210"/>
      <c r="F5" s="210"/>
      <c r="G5" s="51"/>
      <c r="H5" s="51"/>
      <c r="I5" s="51"/>
      <c r="J5" s="51"/>
      <c r="K5" s="51"/>
      <c r="L5" s="51"/>
      <c r="M5" s="51"/>
      <c r="N5" s="51"/>
      <c r="O5" s="51"/>
    </row>
    <row r="6" spans="1:17" ht="22.5" customHeight="1" x14ac:dyDescent="0.2">
      <c r="A6" s="210" t="str">
        <f>Koptāme!$A$12</f>
        <v>Objekta adrese: Īpašums "Vecsašava", Mālupes pagasts,
Alūksnes novads</v>
      </c>
      <c r="B6" s="210"/>
      <c r="C6" s="210"/>
      <c r="D6" s="210"/>
      <c r="E6" s="210"/>
      <c r="F6" s="210"/>
      <c r="G6" s="7"/>
      <c r="H6" s="2"/>
      <c r="I6" s="7"/>
      <c r="J6" s="7"/>
      <c r="K6" s="7"/>
      <c r="L6" s="7"/>
      <c r="M6" s="7"/>
      <c r="N6" s="7"/>
      <c r="O6" s="7"/>
    </row>
    <row r="7" spans="1:17" ht="14.25" customHeight="1" x14ac:dyDescent="0.2">
      <c r="A7" s="210" t="str">
        <f>Koptāme!$A$13</f>
        <v>Pasūtītājs: Z/S "Jaunceriņi"</v>
      </c>
      <c r="B7" s="210"/>
      <c r="C7" s="210"/>
      <c r="D7" s="210"/>
      <c r="E7" s="210"/>
      <c r="F7" s="210"/>
      <c r="G7" s="7"/>
      <c r="H7" s="2"/>
      <c r="I7" s="7"/>
      <c r="J7" s="7"/>
      <c r="K7" s="7"/>
      <c r="L7" s="7"/>
      <c r="M7" s="7"/>
      <c r="N7" s="7"/>
      <c r="O7" s="7"/>
    </row>
    <row r="8" spans="1:17" x14ac:dyDescent="0.2">
      <c r="A8" s="49"/>
      <c r="B8" s="47"/>
      <c r="C8" s="49"/>
      <c r="D8" s="52"/>
      <c r="E8" s="52"/>
      <c r="F8" s="52"/>
      <c r="G8" s="52"/>
      <c r="H8" s="52"/>
      <c r="I8" s="52"/>
      <c r="J8" s="52"/>
      <c r="K8" s="52"/>
      <c r="L8" s="52"/>
      <c r="M8" s="52"/>
      <c r="N8" s="52"/>
      <c r="O8" s="54" t="s">
        <v>47</v>
      </c>
      <c r="P8" s="55">
        <f>P58</f>
        <v>0</v>
      </c>
    </row>
    <row r="9" spans="1:17" x14ac:dyDescent="0.2">
      <c r="A9" s="49"/>
      <c r="B9" s="47"/>
      <c r="C9" s="49"/>
      <c r="D9" s="52"/>
      <c r="E9" s="52"/>
      <c r="F9" s="52"/>
      <c r="G9" s="52"/>
      <c r="H9" s="52"/>
      <c r="I9" s="52"/>
      <c r="J9" s="52"/>
      <c r="K9" s="52"/>
      <c r="L9" s="52"/>
      <c r="M9" s="52"/>
      <c r="N9" s="134" t="str">
        <f>'1-1.DOP'!$N$9</f>
        <v xml:space="preserve">Tāme sastādīta: </v>
      </c>
      <c r="O9" s="57"/>
      <c r="P9" s="52"/>
    </row>
    <row r="11" spans="1:17" ht="12.75" customHeight="1" x14ac:dyDescent="0.2">
      <c r="A11" s="214" t="s">
        <v>48</v>
      </c>
      <c r="B11" s="215" t="s">
        <v>49</v>
      </c>
      <c r="C11" s="214" t="s">
        <v>50</v>
      </c>
      <c r="D11" s="214" t="s">
        <v>51</v>
      </c>
      <c r="E11" s="214" t="s">
        <v>52</v>
      </c>
      <c r="F11" s="211" t="s">
        <v>53</v>
      </c>
      <c r="G11" s="211"/>
      <c r="H11" s="211"/>
      <c r="I11" s="211"/>
      <c r="J11" s="211"/>
      <c r="K11" s="211"/>
      <c r="L11" s="211" t="s">
        <v>54</v>
      </c>
      <c r="M11" s="211"/>
      <c r="N11" s="211"/>
      <c r="O11" s="211"/>
      <c r="P11" s="211"/>
    </row>
    <row r="12" spans="1:17" ht="48" x14ac:dyDescent="0.2">
      <c r="A12" s="214"/>
      <c r="B12" s="215"/>
      <c r="C12" s="214"/>
      <c r="D12" s="214"/>
      <c r="E12" s="214"/>
      <c r="F12" s="194" t="s">
        <v>55</v>
      </c>
      <c r="G12" s="194" t="s">
        <v>89</v>
      </c>
      <c r="H12" s="194" t="s">
        <v>57</v>
      </c>
      <c r="I12" s="194" t="s">
        <v>23</v>
      </c>
      <c r="J12" s="194" t="s">
        <v>58</v>
      </c>
      <c r="K12" s="194" t="s">
        <v>59</v>
      </c>
      <c r="L12" s="194" t="s">
        <v>60</v>
      </c>
      <c r="M12" s="194" t="s">
        <v>57</v>
      </c>
      <c r="N12" s="194" t="s">
        <v>23</v>
      </c>
      <c r="O12" s="194" t="s">
        <v>58</v>
      </c>
      <c r="P12" s="194" t="s">
        <v>61</v>
      </c>
    </row>
    <row r="13" spans="1:17" x14ac:dyDescent="0.2">
      <c r="A13" s="194">
        <v>1</v>
      </c>
      <c r="B13" s="194">
        <v>2</v>
      </c>
      <c r="C13" s="194">
        <v>3</v>
      </c>
      <c r="D13" s="194">
        <v>3</v>
      </c>
      <c r="E13" s="194">
        <v>3</v>
      </c>
      <c r="F13" s="194">
        <v>3</v>
      </c>
      <c r="G13" s="194">
        <v>3</v>
      </c>
      <c r="H13" s="194">
        <v>3</v>
      </c>
      <c r="I13" s="194">
        <v>3</v>
      </c>
      <c r="J13" s="194">
        <v>3</v>
      </c>
      <c r="K13" s="194">
        <v>3</v>
      </c>
      <c r="L13" s="194">
        <v>3</v>
      </c>
      <c r="M13" s="194">
        <v>3</v>
      </c>
      <c r="N13" s="194">
        <v>3</v>
      </c>
      <c r="O13" s="194">
        <v>3</v>
      </c>
      <c r="P13" s="194">
        <v>3</v>
      </c>
    </row>
    <row r="14" spans="1:17" ht="12.75" x14ac:dyDescent="0.2">
      <c r="A14" s="59"/>
      <c r="B14" s="59"/>
      <c r="C14" s="142" t="s">
        <v>416</v>
      </c>
      <c r="D14" s="143"/>
      <c r="E14" s="143"/>
      <c r="F14" s="65"/>
      <c r="G14" s="65"/>
      <c r="H14" s="65"/>
      <c r="I14" s="65"/>
      <c r="J14" s="65"/>
      <c r="K14" s="65"/>
      <c r="L14" s="65"/>
      <c r="M14" s="65"/>
      <c r="N14" s="65"/>
      <c r="O14" s="65"/>
      <c r="P14" s="65"/>
    </row>
    <row r="15" spans="1:17" ht="12.75" x14ac:dyDescent="0.2">
      <c r="A15" s="115">
        <f>IF(D15="","",COUNTIF(B$13:$B15,"l.c"))</f>
        <v>1</v>
      </c>
      <c r="B15" s="115" t="str">
        <f t="shared" ref="B15:B57" si="0">IF(D15="","","l.c")</f>
        <v>l.c</v>
      </c>
      <c r="C15" s="152" t="s">
        <v>417</v>
      </c>
      <c r="D15" s="153" t="s">
        <v>65</v>
      </c>
      <c r="E15" s="151">
        <v>118</v>
      </c>
      <c r="F15" s="64"/>
      <c r="G15" s="64"/>
      <c r="H15" s="64"/>
      <c r="I15" s="64"/>
      <c r="J15" s="64"/>
      <c r="K15" s="64"/>
      <c r="L15" s="64"/>
      <c r="M15" s="64"/>
      <c r="N15" s="64"/>
      <c r="O15" s="64"/>
      <c r="P15" s="64"/>
    </row>
    <row r="16" spans="1:17" ht="38.25" x14ac:dyDescent="0.2">
      <c r="A16" s="115">
        <f>IF(D16="","",COUNTIF(B$13:$B16,"l.c"))</f>
        <v>2</v>
      </c>
      <c r="B16" s="115" t="str">
        <f t="shared" si="0"/>
        <v>l.c</v>
      </c>
      <c r="C16" s="152" t="s">
        <v>418</v>
      </c>
      <c r="D16" s="175" t="s">
        <v>419</v>
      </c>
      <c r="E16" s="151">
        <f>E15*1.5</f>
        <v>177</v>
      </c>
      <c r="F16" s="64"/>
      <c r="G16" s="64"/>
      <c r="H16" s="64"/>
      <c r="I16" s="64"/>
      <c r="J16" s="64"/>
      <c r="K16" s="64"/>
      <c r="L16" s="64"/>
      <c r="M16" s="64"/>
      <c r="N16" s="64"/>
      <c r="O16" s="64"/>
      <c r="P16" s="64"/>
    </row>
    <row r="17" spans="1:16" ht="12.75" x14ac:dyDescent="0.2">
      <c r="A17" s="115">
        <f>IF(D17="","",COUNTIF(B$13:$B17,"l.c"))</f>
        <v>3</v>
      </c>
      <c r="B17" s="115" t="str">
        <f t="shared" ref="B17:B56" si="1">IF(D17="","","l.c")</f>
        <v>l.c</v>
      </c>
      <c r="C17" s="152" t="s">
        <v>420</v>
      </c>
      <c r="D17" s="176" t="s">
        <v>421</v>
      </c>
      <c r="E17" s="151">
        <f>118*1.5*2</f>
        <v>354</v>
      </c>
      <c r="F17" s="64"/>
      <c r="G17" s="64"/>
      <c r="H17" s="64"/>
      <c r="I17" s="64"/>
      <c r="J17" s="64"/>
      <c r="K17" s="64"/>
      <c r="L17" s="64"/>
      <c r="M17" s="64"/>
      <c r="N17" s="64"/>
      <c r="O17" s="64"/>
      <c r="P17" s="64"/>
    </row>
    <row r="18" spans="1:16" ht="25.5" x14ac:dyDescent="0.2">
      <c r="A18" s="115">
        <f>IF(D18="","",COUNTIF(B$13:$B18,"l.c"))</f>
        <v>4</v>
      </c>
      <c r="B18" s="115" t="str">
        <f t="shared" si="1"/>
        <v>l.c</v>
      </c>
      <c r="C18" s="152" t="s">
        <v>422</v>
      </c>
      <c r="D18" s="177" t="s">
        <v>65</v>
      </c>
      <c r="E18" s="151">
        <f>E15</f>
        <v>118</v>
      </c>
      <c r="F18" s="64"/>
      <c r="G18" s="64"/>
      <c r="H18" s="64"/>
      <c r="I18" s="64"/>
      <c r="J18" s="64"/>
      <c r="K18" s="64"/>
      <c r="L18" s="64"/>
      <c r="M18" s="64"/>
      <c r="N18" s="64"/>
      <c r="O18" s="64"/>
      <c r="P18" s="64"/>
    </row>
    <row r="19" spans="1:16" ht="25.5" x14ac:dyDescent="0.2">
      <c r="A19" s="115">
        <f>IF(D19="","",COUNTIF(B$13:$B19,"l.c"))</f>
        <v>5</v>
      </c>
      <c r="B19" s="115" t="str">
        <f t="shared" si="1"/>
        <v>l.c</v>
      </c>
      <c r="C19" s="152" t="s">
        <v>423</v>
      </c>
      <c r="D19" s="177" t="s">
        <v>65</v>
      </c>
      <c r="E19" s="151">
        <f>E15</f>
        <v>118</v>
      </c>
      <c r="F19" s="64"/>
      <c r="G19" s="64"/>
      <c r="H19" s="64"/>
      <c r="I19" s="64"/>
      <c r="J19" s="64"/>
      <c r="K19" s="64"/>
      <c r="L19" s="64"/>
      <c r="M19" s="64"/>
      <c r="N19" s="64"/>
      <c r="O19" s="64"/>
      <c r="P19" s="64"/>
    </row>
    <row r="20" spans="1:16" ht="25.5" x14ac:dyDescent="0.2">
      <c r="A20" s="115">
        <f>IF(D20="","",COUNTIF(B$13:$B20,"l.c"))</f>
        <v>6</v>
      </c>
      <c r="B20" s="115" t="str">
        <f t="shared" si="1"/>
        <v>l.c</v>
      </c>
      <c r="C20" s="152" t="s">
        <v>424</v>
      </c>
      <c r="D20" s="176" t="s">
        <v>421</v>
      </c>
      <c r="E20" s="151">
        <f>(E15*0.15*1.5)+(E15*(0.063+0.15)*1.5)-(E15*0.0019)</f>
        <v>64.03</v>
      </c>
      <c r="F20" s="64"/>
      <c r="G20" s="64"/>
      <c r="H20" s="64"/>
      <c r="I20" s="64"/>
      <c r="J20" s="64"/>
      <c r="K20" s="64"/>
      <c r="L20" s="64"/>
      <c r="M20" s="64"/>
      <c r="N20" s="64"/>
      <c r="O20" s="64"/>
      <c r="P20" s="64"/>
    </row>
    <row r="21" spans="1:16" ht="25.5" x14ac:dyDescent="0.2">
      <c r="A21" s="115">
        <f>IF(D21="","",COUNTIF(B$13:$B21,"l.c"))</f>
        <v>7</v>
      </c>
      <c r="B21" s="115" t="str">
        <f t="shared" si="1"/>
        <v>l.c</v>
      </c>
      <c r="C21" s="152" t="s">
        <v>425</v>
      </c>
      <c r="D21" s="153" t="s">
        <v>65</v>
      </c>
      <c r="E21" s="151">
        <f>E15</f>
        <v>118</v>
      </c>
      <c r="F21" s="64"/>
      <c r="G21" s="64"/>
      <c r="H21" s="64"/>
      <c r="I21" s="64"/>
      <c r="J21" s="64"/>
      <c r="K21" s="64"/>
      <c r="L21" s="64"/>
      <c r="M21" s="64"/>
      <c r="N21" s="64"/>
      <c r="O21" s="64"/>
      <c r="P21" s="64"/>
    </row>
    <row r="22" spans="1:16" ht="12.75" x14ac:dyDescent="0.2">
      <c r="A22" s="115">
        <f>IF(D22="","",COUNTIF(B$13:$B22,"l.c"))</f>
        <v>8</v>
      </c>
      <c r="B22" s="115" t="str">
        <f t="shared" si="1"/>
        <v>l.c</v>
      </c>
      <c r="C22" s="152" t="s">
        <v>426</v>
      </c>
      <c r="D22" s="176" t="s">
        <v>421</v>
      </c>
      <c r="E22" s="151">
        <f>E17-E20</f>
        <v>289.97000000000003</v>
      </c>
      <c r="F22" s="64"/>
      <c r="G22" s="64"/>
      <c r="H22" s="64"/>
      <c r="I22" s="64"/>
      <c r="J22" s="64"/>
      <c r="K22" s="64"/>
      <c r="L22" s="64"/>
      <c r="M22" s="64"/>
      <c r="N22" s="64"/>
      <c r="O22" s="64"/>
      <c r="P22" s="64"/>
    </row>
    <row r="23" spans="1:16" ht="12.75" x14ac:dyDescent="0.2">
      <c r="A23" s="115" t="str">
        <f>IF(D23="","",COUNTIF(B$13:$B23,"l.c"))</f>
        <v/>
      </c>
      <c r="B23" s="115" t="str">
        <f t="shared" si="1"/>
        <v/>
      </c>
      <c r="C23" s="152"/>
      <c r="D23" s="176"/>
      <c r="E23" s="151"/>
      <c r="F23" s="64"/>
      <c r="G23" s="64"/>
      <c r="H23" s="64"/>
      <c r="I23" s="64"/>
      <c r="J23" s="64"/>
      <c r="K23" s="64"/>
      <c r="L23" s="64"/>
      <c r="M23" s="64"/>
      <c r="N23" s="64"/>
      <c r="O23" s="64"/>
      <c r="P23" s="64"/>
    </row>
    <row r="24" spans="1:16" ht="38.25" x14ac:dyDescent="0.2">
      <c r="A24" s="115">
        <f>IF(D24="","",COUNTIF(B$13:$B24,"l.c"))</f>
        <v>9</v>
      </c>
      <c r="B24" s="115" t="str">
        <f t="shared" si="1"/>
        <v>l.c</v>
      </c>
      <c r="C24" s="152" t="s">
        <v>427</v>
      </c>
      <c r="D24" s="153" t="s">
        <v>428</v>
      </c>
      <c r="E24" s="151">
        <v>1</v>
      </c>
      <c r="F24" s="64"/>
      <c r="G24" s="64"/>
      <c r="H24" s="64"/>
      <c r="I24" s="64"/>
      <c r="J24" s="64"/>
      <c r="K24" s="64"/>
      <c r="L24" s="64"/>
      <c r="M24" s="64"/>
      <c r="N24" s="64"/>
      <c r="O24" s="64"/>
      <c r="P24" s="64"/>
    </row>
    <row r="25" spans="1:16" ht="60" x14ac:dyDescent="0.2">
      <c r="A25" s="115">
        <f>IF(D25="","",COUNTIF(B$13:$B25,"l.c"))</f>
        <v>10</v>
      </c>
      <c r="B25" s="115" t="str">
        <f t="shared" si="1"/>
        <v>l.c</v>
      </c>
      <c r="C25" s="178" t="s">
        <v>429</v>
      </c>
      <c r="D25" s="179" t="s">
        <v>109</v>
      </c>
      <c r="E25" s="180">
        <v>2</v>
      </c>
      <c r="F25" s="64"/>
      <c r="G25" s="64"/>
      <c r="H25" s="64"/>
      <c r="I25" s="64"/>
      <c r="J25" s="64"/>
      <c r="K25" s="64"/>
      <c r="L25" s="64"/>
      <c r="M25" s="64"/>
      <c r="N25" s="64"/>
      <c r="O25" s="64"/>
      <c r="P25" s="64"/>
    </row>
    <row r="26" spans="1:16" ht="12.75" x14ac:dyDescent="0.2">
      <c r="A26" s="115">
        <f>IF(D26="","",COUNTIF(B$13:$B26,"l.c"))</f>
        <v>11</v>
      </c>
      <c r="B26" s="115" t="str">
        <f t="shared" si="1"/>
        <v>l.c</v>
      </c>
      <c r="C26" s="181" t="s">
        <v>430</v>
      </c>
      <c r="D26" s="179" t="s">
        <v>107</v>
      </c>
      <c r="E26" s="180">
        <v>1</v>
      </c>
      <c r="F26" s="64"/>
      <c r="G26" s="64"/>
      <c r="H26" s="64"/>
      <c r="I26" s="64"/>
      <c r="J26" s="64"/>
      <c r="K26" s="64"/>
      <c r="L26" s="64"/>
      <c r="M26" s="64"/>
      <c r="N26" s="64"/>
      <c r="O26" s="64"/>
      <c r="P26" s="64"/>
    </row>
    <row r="27" spans="1:16" ht="25.5" x14ac:dyDescent="0.2">
      <c r="A27" s="115">
        <f>IF(D27="","",COUNTIF(B$13:$B27,"l.c"))</f>
        <v>12</v>
      </c>
      <c r="B27" s="115" t="str">
        <f t="shared" si="1"/>
        <v>l.c</v>
      </c>
      <c r="C27" s="178" t="s">
        <v>431</v>
      </c>
      <c r="D27" s="179" t="s">
        <v>432</v>
      </c>
      <c r="E27" s="180">
        <v>1</v>
      </c>
      <c r="F27" s="64"/>
      <c r="G27" s="64"/>
      <c r="H27" s="64"/>
      <c r="I27" s="64"/>
      <c r="J27" s="64"/>
      <c r="K27" s="64"/>
      <c r="L27" s="64"/>
      <c r="M27" s="64"/>
      <c r="N27" s="64"/>
      <c r="O27" s="64"/>
      <c r="P27" s="64"/>
    </row>
    <row r="28" spans="1:16" ht="25.5" x14ac:dyDescent="0.2">
      <c r="A28" s="115">
        <f>IF(D28="","",COUNTIF(B$13:$B28,"l.c"))</f>
        <v>13</v>
      </c>
      <c r="B28" s="115" t="str">
        <f t="shared" si="1"/>
        <v>l.c</v>
      </c>
      <c r="C28" s="178" t="s">
        <v>433</v>
      </c>
      <c r="D28" s="179" t="s">
        <v>432</v>
      </c>
      <c r="E28" s="180">
        <v>1</v>
      </c>
      <c r="F28" s="64"/>
      <c r="G28" s="64"/>
      <c r="H28" s="64"/>
      <c r="I28" s="64"/>
      <c r="J28" s="64"/>
      <c r="K28" s="64"/>
      <c r="L28" s="64"/>
      <c r="M28" s="64"/>
      <c r="N28" s="64"/>
      <c r="O28" s="64"/>
      <c r="P28" s="64"/>
    </row>
    <row r="29" spans="1:16" ht="12.75" x14ac:dyDescent="0.2">
      <c r="A29" s="115">
        <f>IF(D29="","",COUNTIF(B$13:$B29,"l.c"))</f>
        <v>14</v>
      </c>
      <c r="B29" s="115" t="str">
        <f t="shared" si="1"/>
        <v>l.c</v>
      </c>
      <c r="C29" s="182" t="s">
        <v>434</v>
      </c>
      <c r="D29" s="148" t="s">
        <v>432</v>
      </c>
      <c r="E29" s="183">
        <v>1</v>
      </c>
      <c r="F29" s="64"/>
      <c r="G29" s="64"/>
      <c r="H29" s="64"/>
      <c r="I29" s="64"/>
      <c r="J29" s="64"/>
      <c r="K29" s="64"/>
      <c r="L29" s="64"/>
      <c r="M29" s="64"/>
      <c r="N29" s="64"/>
      <c r="O29" s="64"/>
      <c r="P29" s="64"/>
    </row>
    <row r="30" spans="1:16" ht="12.75" x14ac:dyDescent="0.2">
      <c r="A30" s="115">
        <f>IF(D30="","",COUNTIF(B$13:$B30,"l.c"))</f>
        <v>15</v>
      </c>
      <c r="B30" s="115" t="str">
        <f t="shared" si="1"/>
        <v>l.c</v>
      </c>
      <c r="C30" s="182" t="s">
        <v>435</v>
      </c>
      <c r="D30" s="148" t="s">
        <v>432</v>
      </c>
      <c r="E30" s="183">
        <v>2</v>
      </c>
      <c r="F30" s="64"/>
      <c r="G30" s="64"/>
      <c r="H30" s="64"/>
      <c r="I30" s="64"/>
      <c r="J30" s="64"/>
      <c r="K30" s="64"/>
      <c r="L30" s="64"/>
      <c r="M30" s="64"/>
      <c r="N30" s="64"/>
      <c r="O30" s="64"/>
      <c r="P30" s="64"/>
    </row>
    <row r="31" spans="1:16" ht="12.75" x14ac:dyDescent="0.2">
      <c r="A31" s="115" t="str">
        <f>IF(D31="","",COUNTIF(B$13:$B31,"l.c"))</f>
        <v/>
      </c>
      <c r="B31" s="115" t="str">
        <f t="shared" si="1"/>
        <v/>
      </c>
      <c r="C31" s="184" t="s">
        <v>436</v>
      </c>
      <c r="D31" s="175"/>
      <c r="E31" s="185"/>
      <c r="F31" s="64"/>
      <c r="G31" s="64"/>
      <c r="H31" s="64"/>
      <c r="I31" s="64"/>
      <c r="J31" s="64"/>
      <c r="K31" s="64"/>
      <c r="L31" s="64"/>
      <c r="M31" s="64"/>
      <c r="N31" s="64"/>
      <c r="O31" s="64"/>
      <c r="P31" s="64"/>
    </row>
    <row r="32" spans="1:16" ht="12.75" x14ac:dyDescent="0.2">
      <c r="A32" s="115">
        <f>IF(D32="","",COUNTIF(B$13:$B32,"l.c"))</f>
        <v>16</v>
      </c>
      <c r="B32" s="115" t="str">
        <f t="shared" si="1"/>
        <v>l.c</v>
      </c>
      <c r="C32" s="152" t="s">
        <v>417</v>
      </c>
      <c r="D32" s="153" t="s">
        <v>65</v>
      </c>
      <c r="E32" s="151">
        <v>8</v>
      </c>
      <c r="F32" s="64"/>
      <c r="G32" s="64"/>
      <c r="H32" s="64"/>
      <c r="I32" s="64"/>
      <c r="J32" s="64"/>
      <c r="K32" s="64"/>
      <c r="L32" s="64"/>
      <c r="M32" s="64"/>
      <c r="N32" s="64"/>
      <c r="O32" s="64"/>
      <c r="P32" s="64"/>
    </row>
    <row r="33" spans="1:16" ht="12.75" x14ac:dyDescent="0.2">
      <c r="A33" s="115">
        <f>IF(D33="","",COUNTIF(B$13:$B33,"l.c"))</f>
        <v>17</v>
      </c>
      <c r="B33" s="115" t="str">
        <f t="shared" si="1"/>
        <v>l.c</v>
      </c>
      <c r="C33" s="152" t="s">
        <v>437</v>
      </c>
      <c r="D33" s="176" t="s">
        <v>421</v>
      </c>
      <c r="E33" s="177">
        <f>E32*1.5*1.5</f>
        <v>18</v>
      </c>
      <c r="F33" s="64"/>
      <c r="G33" s="64"/>
      <c r="H33" s="64"/>
      <c r="I33" s="64"/>
      <c r="J33" s="64"/>
      <c r="K33" s="64"/>
      <c r="L33" s="64"/>
      <c r="M33" s="64"/>
      <c r="N33" s="64"/>
      <c r="O33" s="64"/>
      <c r="P33" s="64"/>
    </row>
    <row r="34" spans="1:16" ht="25.5" x14ac:dyDescent="0.2">
      <c r="A34" s="115">
        <f>IF(D34="","",COUNTIF(B$13:$B34,"l.c"))</f>
        <v>18</v>
      </c>
      <c r="B34" s="115" t="str">
        <f t="shared" si="1"/>
        <v>l.c</v>
      </c>
      <c r="C34" s="152" t="s">
        <v>424</v>
      </c>
      <c r="D34" s="153" t="s">
        <v>421</v>
      </c>
      <c r="E34" s="151">
        <f>(E32*0.15*1.5)+(E32*(0.16+0.15)*1.5)-(E32*0.009)</f>
        <v>5.45</v>
      </c>
      <c r="F34" s="64"/>
      <c r="G34" s="64"/>
      <c r="H34" s="64"/>
      <c r="I34" s="64"/>
      <c r="J34" s="64"/>
      <c r="K34" s="64"/>
      <c r="L34" s="64"/>
      <c r="M34" s="64"/>
      <c r="N34" s="64"/>
      <c r="O34" s="64"/>
      <c r="P34" s="64"/>
    </row>
    <row r="35" spans="1:16" ht="25.5" x14ac:dyDescent="0.2">
      <c r="A35" s="115">
        <f>IF(D35="","",COUNTIF(B$13:$B35,"l.c"))</f>
        <v>19</v>
      </c>
      <c r="B35" s="115" t="str">
        <f t="shared" si="1"/>
        <v>l.c</v>
      </c>
      <c r="C35" s="152" t="s">
        <v>438</v>
      </c>
      <c r="D35" s="176" t="s">
        <v>65</v>
      </c>
      <c r="E35" s="177">
        <v>3</v>
      </c>
      <c r="F35" s="64"/>
      <c r="G35" s="64"/>
      <c r="H35" s="64"/>
      <c r="I35" s="64"/>
      <c r="J35" s="64"/>
      <c r="K35" s="64"/>
      <c r="L35" s="64"/>
      <c r="M35" s="64"/>
      <c r="N35" s="64"/>
      <c r="O35" s="64"/>
      <c r="P35" s="64"/>
    </row>
    <row r="36" spans="1:16" ht="25.5" x14ac:dyDescent="0.2">
      <c r="A36" s="115">
        <f>IF(D36="","",COUNTIF(B$13:$B36,"l.c"))</f>
        <v>20</v>
      </c>
      <c r="B36" s="115" t="str">
        <f t="shared" si="1"/>
        <v>l.c</v>
      </c>
      <c r="C36" s="152" t="s">
        <v>439</v>
      </c>
      <c r="D36" s="176" t="s">
        <v>65</v>
      </c>
      <c r="E36" s="177">
        <v>5</v>
      </c>
      <c r="F36" s="64"/>
      <c r="G36" s="64"/>
      <c r="H36" s="64"/>
      <c r="I36" s="64"/>
      <c r="J36" s="64"/>
      <c r="K36" s="64"/>
      <c r="L36" s="64"/>
      <c r="M36" s="64"/>
      <c r="N36" s="64"/>
      <c r="O36" s="64"/>
      <c r="P36" s="64"/>
    </row>
    <row r="37" spans="1:16" ht="63.75" x14ac:dyDescent="0.2">
      <c r="A37" s="115">
        <f>IF(D37="","",COUNTIF(B$13:$B37,"l.c"))</f>
        <v>21</v>
      </c>
      <c r="B37" s="115" t="str">
        <f t="shared" si="1"/>
        <v>l.c</v>
      </c>
      <c r="C37" s="152" t="s">
        <v>440</v>
      </c>
      <c r="D37" s="153" t="s">
        <v>79</v>
      </c>
      <c r="E37" s="151">
        <v>2</v>
      </c>
      <c r="F37" s="64"/>
      <c r="G37" s="64"/>
      <c r="H37" s="64"/>
      <c r="I37" s="64"/>
      <c r="J37" s="64"/>
      <c r="K37" s="64"/>
      <c r="L37" s="64"/>
      <c r="M37" s="64"/>
      <c r="N37" s="64"/>
      <c r="O37" s="64"/>
      <c r="P37" s="64"/>
    </row>
    <row r="38" spans="1:16" ht="63.75" x14ac:dyDescent="0.2">
      <c r="A38" s="115">
        <f>IF(D38="","",COUNTIF(B$13:$B38,"l.c"))</f>
        <v>22</v>
      </c>
      <c r="B38" s="115" t="str">
        <f t="shared" si="1"/>
        <v>l.c</v>
      </c>
      <c r="C38" s="152" t="s">
        <v>441</v>
      </c>
      <c r="D38" s="153" t="s">
        <v>79</v>
      </c>
      <c r="E38" s="151">
        <v>1</v>
      </c>
      <c r="F38" s="64"/>
      <c r="G38" s="64"/>
      <c r="H38" s="64"/>
      <c r="I38" s="64"/>
      <c r="J38" s="64"/>
      <c r="K38" s="64"/>
      <c r="L38" s="64"/>
      <c r="M38" s="64"/>
      <c r="N38" s="64"/>
      <c r="O38" s="64"/>
      <c r="P38" s="64"/>
    </row>
    <row r="39" spans="1:16" ht="12.75" x14ac:dyDescent="0.2">
      <c r="A39" s="115">
        <f>IF(D39="","",COUNTIF(B$13:$B39,"l.c"))</f>
        <v>23</v>
      </c>
      <c r="B39" s="115" t="str">
        <f t="shared" si="1"/>
        <v>l.c</v>
      </c>
      <c r="C39" s="152" t="s">
        <v>426</v>
      </c>
      <c r="D39" s="176" t="s">
        <v>421</v>
      </c>
      <c r="E39" s="177">
        <f>E33-E40</f>
        <v>12.55</v>
      </c>
      <c r="F39" s="64"/>
      <c r="G39" s="64"/>
      <c r="H39" s="64"/>
      <c r="I39" s="64"/>
      <c r="J39" s="64"/>
      <c r="K39" s="64"/>
      <c r="L39" s="64"/>
      <c r="M39" s="64"/>
      <c r="N39" s="64"/>
      <c r="O39" s="64"/>
      <c r="P39" s="64"/>
    </row>
    <row r="40" spans="1:16" ht="24" customHeight="1" x14ac:dyDescent="0.2">
      <c r="A40" s="115">
        <f>IF(D40="","",COUNTIF(B$13:$B40,"l.c"))</f>
        <v>24</v>
      </c>
      <c r="B40" s="115" t="str">
        <f t="shared" si="1"/>
        <v>l.c</v>
      </c>
      <c r="C40" s="152" t="s">
        <v>442</v>
      </c>
      <c r="D40" s="176" t="s">
        <v>421</v>
      </c>
      <c r="E40" s="177">
        <f>E34</f>
        <v>5.45</v>
      </c>
      <c r="F40" s="64"/>
      <c r="G40" s="64"/>
      <c r="H40" s="64"/>
      <c r="I40" s="64"/>
      <c r="J40" s="64"/>
      <c r="K40" s="64"/>
      <c r="L40" s="64"/>
      <c r="M40" s="64"/>
      <c r="N40" s="64"/>
      <c r="O40" s="64"/>
      <c r="P40" s="64"/>
    </row>
    <row r="41" spans="1:16" ht="12.75" x14ac:dyDescent="0.2">
      <c r="A41" s="115">
        <f>IF(D41="","",COUNTIF(B$13:$B41,"l.c"))</f>
        <v>25</v>
      </c>
      <c r="B41" s="115" t="str">
        <f t="shared" si="1"/>
        <v>l.c</v>
      </c>
      <c r="C41" s="152" t="s">
        <v>443</v>
      </c>
      <c r="D41" s="177" t="s">
        <v>428</v>
      </c>
      <c r="E41" s="177">
        <v>1</v>
      </c>
      <c r="F41" s="64"/>
      <c r="G41" s="64"/>
      <c r="H41" s="64"/>
      <c r="I41" s="64"/>
      <c r="J41" s="64"/>
      <c r="K41" s="64"/>
      <c r="L41" s="64"/>
      <c r="M41" s="64"/>
      <c r="N41" s="64"/>
      <c r="O41" s="64"/>
      <c r="P41" s="64"/>
    </row>
    <row r="42" spans="1:16" ht="25.5" x14ac:dyDescent="0.2">
      <c r="A42" s="115">
        <f>IF(D42="","",COUNTIF(B$13:$B42,"l.c"))</f>
        <v>26</v>
      </c>
      <c r="B42" s="115" t="str">
        <f t="shared" si="1"/>
        <v>l.c</v>
      </c>
      <c r="C42" s="152" t="s">
        <v>444</v>
      </c>
      <c r="D42" s="151" t="s">
        <v>65</v>
      </c>
      <c r="E42" s="151">
        <f>E32</f>
        <v>8</v>
      </c>
      <c r="F42" s="64"/>
      <c r="G42" s="64"/>
      <c r="H42" s="64"/>
      <c r="I42" s="64"/>
      <c r="J42" s="64"/>
      <c r="K42" s="64"/>
      <c r="L42" s="64"/>
      <c r="M42" s="64"/>
      <c r="N42" s="64"/>
      <c r="O42" s="64"/>
      <c r="P42" s="64"/>
    </row>
    <row r="43" spans="1:16" ht="15.75" x14ac:dyDescent="0.2">
      <c r="A43" s="115">
        <f>IF(D43="","",COUNTIF(B$13:$B43,"l.c"))</f>
        <v>27</v>
      </c>
      <c r="B43" s="115" t="str">
        <f t="shared" si="1"/>
        <v>l.c</v>
      </c>
      <c r="C43" s="182" t="s">
        <v>445</v>
      </c>
      <c r="D43" s="186" t="s">
        <v>446</v>
      </c>
      <c r="E43" s="183">
        <v>1</v>
      </c>
      <c r="F43" s="64"/>
      <c r="G43" s="64"/>
      <c r="H43" s="64"/>
      <c r="I43" s="64"/>
      <c r="J43" s="64"/>
      <c r="K43" s="64"/>
      <c r="L43" s="64"/>
      <c r="M43" s="64"/>
      <c r="N43" s="64"/>
      <c r="O43" s="64"/>
      <c r="P43" s="64"/>
    </row>
    <row r="44" spans="1:16" ht="25.5" x14ac:dyDescent="0.2">
      <c r="A44" s="115">
        <f>IF(D44="","",COUNTIF(B$13:$B44,"l.c"))</f>
        <v>28</v>
      </c>
      <c r="B44" s="115" t="str">
        <f t="shared" si="1"/>
        <v>l.c</v>
      </c>
      <c r="C44" s="178" t="s">
        <v>433</v>
      </c>
      <c r="D44" s="179" t="s">
        <v>432</v>
      </c>
      <c r="E44" s="180">
        <v>2</v>
      </c>
      <c r="F44" s="64"/>
      <c r="G44" s="64"/>
      <c r="H44" s="64"/>
      <c r="I44" s="64"/>
      <c r="J44" s="64"/>
      <c r="K44" s="64"/>
      <c r="L44" s="64"/>
      <c r="M44" s="64"/>
      <c r="N44" s="64"/>
      <c r="O44" s="64"/>
      <c r="P44" s="64"/>
    </row>
    <row r="45" spans="1:16" ht="12.75" x14ac:dyDescent="0.2">
      <c r="A45" s="115" t="str">
        <f>IF(D45="","",COUNTIF(B$13:$B45,"l.c"))</f>
        <v/>
      </c>
      <c r="B45" s="115" t="str">
        <f t="shared" si="1"/>
        <v/>
      </c>
      <c r="C45" s="184" t="s">
        <v>447</v>
      </c>
      <c r="D45" s="175"/>
      <c r="E45" s="185"/>
      <c r="F45" s="64"/>
      <c r="G45" s="64"/>
      <c r="H45" s="64"/>
      <c r="I45" s="64"/>
      <c r="J45" s="64"/>
      <c r="K45" s="64"/>
      <c r="L45" s="64"/>
      <c r="M45" s="64"/>
      <c r="N45" s="64"/>
      <c r="O45" s="64"/>
      <c r="P45" s="64"/>
    </row>
    <row r="46" spans="1:16" ht="12.75" x14ac:dyDescent="0.2">
      <c r="A46" s="115">
        <f>IF(D46="","",COUNTIF(B$13:$B46,"l.c"))</f>
        <v>29</v>
      </c>
      <c r="B46" s="115" t="str">
        <f t="shared" si="1"/>
        <v>l.c</v>
      </c>
      <c r="C46" s="152" t="s">
        <v>417</v>
      </c>
      <c r="D46" s="153" t="s">
        <v>65</v>
      </c>
      <c r="E46" s="151">
        <v>30</v>
      </c>
      <c r="F46" s="64"/>
      <c r="G46" s="64"/>
      <c r="H46" s="64"/>
      <c r="I46" s="64"/>
      <c r="J46" s="64"/>
      <c r="K46" s="64"/>
      <c r="L46" s="64"/>
      <c r="M46" s="64"/>
      <c r="N46" s="64"/>
      <c r="O46" s="64"/>
      <c r="P46" s="64"/>
    </row>
    <row r="47" spans="1:16" ht="12.75" x14ac:dyDescent="0.2">
      <c r="A47" s="115">
        <f>IF(D47="","",COUNTIF(B$13:$B47,"l.c"))</f>
        <v>30</v>
      </c>
      <c r="B47" s="115" t="str">
        <f t="shared" si="1"/>
        <v>l.c</v>
      </c>
      <c r="C47" s="152" t="s">
        <v>448</v>
      </c>
      <c r="D47" s="176" t="s">
        <v>421</v>
      </c>
      <c r="E47" s="177">
        <f>E46*1.5*2.5</f>
        <v>112.5</v>
      </c>
      <c r="F47" s="64"/>
      <c r="G47" s="64"/>
      <c r="H47" s="64"/>
      <c r="I47" s="64"/>
      <c r="J47" s="64"/>
      <c r="K47" s="64"/>
      <c r="L47" s="64"/>
      <c r="M47" s="64"/>
      <c r="N47" s="64"/>
      <c r="O47" s="64"/>
      <c r="P47" s="64"/>
    </row>
    <row r="48" spans="1:16" ht="25.5" x14ac:dyDescent="0.2">
      <c r="A48" s="115">
        <f>IF(D48="","",COUNTIF(B$13:$B48,"l.c"))</f>
        <v>31</v>
      </c>
      <c r="B48" s="115" t="str">
        <f t="shared" si="1"/>
        <v>l.c</v>
      </c>
      <c r="C48" s="187" t="s">
        <v>424</v>
      </c>
      <c r="D48" s="188" t="s">
        <v>421</v>
      </c>
      <c r="E48" s="189">
        <f>(E46*1.5*0.15)+(E46*1.5*(0.15+0.16)-(E46*0.02))</f>
        <v>20.100000000000001</v>
      </c>
      <c r="F48" s="64"/>
      <c r="G48" s="64"/>
      <c r="H48" s="64"/>
      <c r="I48" s="64"/>
      <c r="J48" s="64"/>
      <c r="K48" s="64"/>
      <c r="L48" s="64"/>
      <c r="M48" s="64"/>
      <c r="N48" s="64"/>
      <c r="O48" s="64"/>
      <c r="P48" s="64"/>
    </row>
    <row r="49" spans="1:16" ht="25.5" x14ac:dyDescent="0.2">
      <c r="A49" s="115">
        <f>IF(D49="","",COUNTIF(B$13:$B49,"l.c"))</f>
        <v>32</v>
      </c>
      <c r="B49" s="115" t="str">
        <f t="shared" si="1"/>
        <v>l.c</v>
      </c>
      <c r="C49" s="187" t="s">
        <v>449</v>
      </c>
      <c r="D49" s="188" t="s">
        <v>65</v>
      </c>
      <c r="E49" s="189">
        <f>E46</f>
        <v>30</v>
      </c>
      <c r="F49" s="64"/>
      <c r="G49" s="64"/>
      <c r="H49" s="64"/>
      <c r="I49" s="64"/>
      <c r="J49" s="64"/>
      <c r="K49" s="64"/>
      <c r="L49" s="64"/>
      <c r="M49" s="64"/>
      <c r="N49" s="64"/>
      <c r="O49" s="64"/>
      <c r="P49" s="64"/>
    </row>
    <row r="50" spans="1:16" ht="25.5" x14ac:dyDescent="0.2">
      <c r="A50" s="115">
        <f>IF(D50="","",COUNTIF(B$13:$B50,"l.c"))</f>
        <v>33</v>
      </c>
      <c r="B50" s="115" t="str">
        <f t="shared" si="1"/>
        <v>l.c</v>
      </c>
      <c r="C50" s="187" t="s">
        <v>450</v>
      </c>
      <c r="D50" s="188" t="s">
        <v>109</v>
      </c>
      <c r="E50" s="189">
        <v>1</v>
      </c>
      <c r="F50" s="64"/>
      <c r="G50" s="64"/>
      <c r="H50" s="64"/>
      <c r="I50" s="64"/>
      <c r="J50" s="64"/>
      <c r="K50" s="64"/>
      <c r="L50" s="64"/>
      <c r="M50" s="64"/>
      <c r="N50" s="64"/>
      <c r="O50" s="64"/>
      <c r="P50" s="64"/>
    </row>
    <row r="51" spans="1:16" ht="25.5" x14ac:dyDescent="0.2">
      <c r="A51" s="115">
        <f>IF(D51="","",COUNTIF(B$13:$B51,"l.c"))</f>
        <v>34</v>
      </c>
      <c r="B51" s="115" t="str">
        <f t="shared" si="1"/>
        <v>l.c</v>
      </c>
      <c r="C51" s="187" t="s">
        <v>451</v>
      </c>
      <c r="D51" s="188" t="s">
        <v>109</v>
      </c>
      <c r="E51" s="189">
        <v>1</v>
      </c>
      <c r="F51" s="64"/>
      <c r="G51" s="64"/>
      <c r="H51" s="64"/>
      <c r="I51" s="64"/>
      <c r="J51" s="64"/>
      <c r="K51" s="64"/>
      <c r="L51" s="64"/>
      <c r="M51" s="64"/>
      <c r="N51" s="64"/>
      <c r="O51" s="64"/>
      <c r="P51" s="64"/>
    </row>
    <row r="52" spans="1:16" ht="12.75" x14ac:dyDescent="0.2">
      <c r="A52" s="115">
        <f>IF(D52="","",COUNTIF(B$13:$B52,"l.c"))</f>
        <v>35</v>
      </c>
      <c r="B52" s="115" t="str">
        <f t="shared" si="1"/>
        <v>l.c</v>
      </c>
      <c r="C52" s="187" t="s">
        <v>452</v>
      </c>
      <c r="D52" s="188" t="s">
        <v>109</v>
      </c>
      <c r="E52" s="189">
        <v>1</v>
      </c>
      <c r="F52" s="64"/>
      <c r="G52" s="64"/>
      <c r="H52" s="64"/>
      <c r="I52" s="64"/>
      <c r="J52" s="64"/>
      <c r="K52" s="64"/>
      <c r="L52" s="64"/>
      <c r="M52" s="64"/>
      <c r="N52" s="64"/>
      <c r="O52" s="64"/>
      <c r="P52" s="64"/>
    </row>
    <row r="53" spans="1:16" ht="25.5" x14ac:dyDescent="0.2">
      <c r="A53" s="115">
        <f>IF(D53="","",COUNTIF(B$13:$B53,"l.c"))</f>
        <v>36</v>
      </c>
      <c r="B53" s="115" t="str">
        <f t="shared" si="1"/>
        <v>l.c</v>
      </c>
      <c r="C53" s="187" t="s">
        <v>453</v>
      </c>
      <c r="D53" s="188" t="s">
        <v>109</v>
      </c>
      <c r="E53" s="189">
        <v>1</v>
      </c>
      <c r="F53" s="64"/>
      <c r="G53" s="64"/>
      <c r="H53" s="64"/>
      <c r="I53" s="64"/>
      <c r="J53" s="64"/>
      <c r="K53" s="64"/>
      <c r="L53" s="64"/>
      <c r="M53" s="64"/>
      <c r="N53" s="64"/>
      <c r="O53" s="64"/>
      <c r="P53" s="64"/>
    </row>
    <row r="54" spans="1:16" ht="12.75" x14ac:dyDescent="0.2">
      <c r="A54" s="115">
        <f>IF(D54="","",COUNTIF(B$13:$B54,"l.c"))</f>
        <v>37</v>
      </c>
      <c r="B54" s="115" t="str">
        <f t="shared" si="1"/>
        <v>l.c</v>
      </c>
      <c r="C54" s="152" t="s">
        <v>426</v>
      </c>
      <c r="D54" s="176" t="s">
        <v>421</v>
      </c>
      <c r="E54" s="177">
        <f>E47-E48</f>
        <v>92.4</v>
      </c>
      <c r="F54" s="64"/>
      <c r="G54" s="64"/>
      <c r="H54" s="64"/>
      <c r="I54" s="64"/>
      <c r="J54" s="64"/>
      <c r="K54" s="64"/>
      <c r="L54" s="64"/>
      <c r="M54" s="64"/>
      <c r="N54" s="64"/>
      <c r="O54" s="64"/>
      <c r="P54" s="64"/>
    </row>
    <row r="55" spans="1:16" ht="12.75" x14ac:dyDescent="0.2">
      <c r="A55" s="115">
        <f>IF(D55="","",COUNTIF(B$13:$B55,"l.c"))</f>
        <v>38</v>
      </c>
      <c r="B55" s="115" t="str">
        <f t="shared" si="1"/>
        <v>l.c</v>
      </c>
      <c r="C55" s="152" t="s">
        <v>442</v>
      </c>
      <c r="D55" s="176" t="s">
        <v>421</v>
      </c>
      <c r="E55" s="177">
        <f>E48</f>
        <v>20.100000000000001</v>
      </c>
      <c r="F55" s="64"/>
      <c r="G55" s="64"/>
      <c r="H55" s="64"/>
      <c r="I55" s="64"/>
      <c r="J55" s="64"/>
      <c r="K55" s="64"/>
      <c r="L55" s="64"/>
      <c r="M55" s="64"/>
      <c r="N55" s="64"/>
      <c r="O55" s="64"/>
      <c r="P55" s="64"/>
    </row>
    <row r="56" spans="1:16" ht="12.75" x14ac:dyDescent="0.2">
      <c r="A56" s="115">
        <f>IF(D56="","",COUNTIF(B$13:$B56,"l.c"))</f>
        <v>39</v>
      </c>
      <c r="B56" s="115" t="str">
        <f t="shared" si="1"/>
        <v>l.c</v>
      </c>
      <c r="C56" s="152" t="s">
        <v>454</v>
      </c>
      <c r="D56" s="176" t="s">
        <v>428</v>
      </c>
      <c r="E56" s="177">
        <v>1</v>
      </c>
      <c r="F56" s="64"/>
      <c r="G56" s="64"/>
      <c r="H56" s="64"/>
      <c r="I56" s="64"/>
      <c r="J56" s="64"/>
      <c r="K56" s="64"/>
      <c r="L56" s="64"/>
      <c r="M56" s="64"/>
      <c r="N56" s="64"/>
      <c r="O56" s="64"/>
      <c r="P56" s="64"/>
    </row>
    <row r="57" spans="1:16" ht="12.75" x14ac:dyDescent="0.2">
      <c r="A57" s="115" t="str">
        <f>IF(D57="","",COUNTIF(B$13:$B57,"l.c"))</f>
        <v/>
      </c>
      <c r="B57" s="115" t="str">
        <f t="shared" si="0"/>
        <v/>
      </c>
      <c r="C57" s="190"/>
      <c r="D57" s="191"/>
      <c r="E57" s="192"/>
      <c r="F57" s="64"/>
      <c r="G57" s="64"/>
      <c r="H57" s="64"/>
      <c r="I57" s="64"/>
      <c r="J57" s="64"/>
      <c r="K57" s="64"/>
      <c r="L57" s="64"/>
      <c r="M57" s="64"/>
      <c r="N57" s="64"/>
      <c r="O57" s="64"/>
      <c r="P57" s="64"/>
    </row>
    <row r="58" spans="1:16" x14ac:dyDescent="0.2">
      <c r="A58" s="71"/>
      <c r="B58" s="212" t="s">
        <v>86</v>
      </c>
      <c r="C58" s="212"/>
      <c r="D58" s="212"/>
      <c r="E58" s="212"/>
      <c r="F58" s="212"/>
      <c r="G58" s="212"/>
      <c r="H58" s="212"/>
      <c r="I58" s="212"/>
      <c r="J58" s="212"/>
      <c r="K58" s="212"/>
      <c r="L58" s="66">
        <f>SUM(L15:L57)</f>
        <v>0</v>
      </c>
      <c r="M58" s="66">
        <f t="shared" ref="M58:P58" si="2">SUM(M15:M57)</f>
        <v>0</v>
      </c>
      <c r="N58" s="66">
        <f t="shared" si="2"/>
        <v>0</v>
      </c>
      <c r="O58" s="66">
        <f t="shared" si="2"/>
        <v>0</v>
      </c>
      <c r="P58" s="66">
        <f t="shared" si="2"/>
        <v>0</v>
      </c>
    </row>
    <row r="59" spans="1:16" x14ac:dyDescent="0.2">
      <c r="A59" s="5"/>
      <c r="B59" s="5"/>
      <c r="C59" s="9"/>
      <c r="D59" s="4"/>
      <c r="E59" s="4"/>
      <c r="F59" s="5"/>
      <c r="G59" s="5"/>
      <c r="H59" s="5"/>
      <c r="I59" s="5"/>
      <c r="J59" s="5"/>
      <c r="K59" s="5"/>
      <c r="L59" s="5"/>
      <c r="M59" s="5"/>
      <c r="N59" s="5"/>
      <c r="O59" s="5"/>
      <c r="P59" s="5"/>
    </row>
    <row r="60" spans="1:16" x14ac:dyDescent="0.2">
      <c r="A60" s="5"/>
      <c r="B60" s="5"/>
      <c r="C60" s="9"/>
      <c r="D60" s="4"/>
      <c r="E60" s="4"/>
      <c r="F60" s="5"/>
      <c r="G60" s="5"/>
      <c r="H60" s="5"/>
      <c r="I60" s="5"/>
      <c r="J60" s="5"/>
      <c r="K60" s="5"/>
      <c r="L60" s="5"/>
      <c r="M60" s="5"/>
      <c r="N60" s="5"/>
      <c r="O60" s="5"/>
      <c r="P60" s="5"/>
    </row>
    <row r="61" spans="1:16" x14ac:dyDescent="0.2">
      <c r="A61" s="20" t="s">
        <v>9</v>
      </c>
      <c r="B61" s="19"/>
      <c r="C61" s="19"/>
      <c r="D61" s="173"/>
      <c r="E61" s="173"/>
      <c r="F61" s="19"/>
      <c r="G61" s="20"/>
      <c r="H61" s="19"/>
      <c r="I61" s="19"/>
      <c r="J61" s="19"/>
      <c r="K61" s="19"/>
      <c r="L61" s="19"/>
      <c r="M61" s="68"/>
      <c r="N61" s="68"/>
      <c r="O61" s="68"/>
      <c r="P61" s="26"/>
    </row>
    <row r="62" spans="1:16" ht="11.45" customHeight="1" x14ac:dyDescent="0.2">
      <c r="A62" s="20"/>
      <c r="B62" s="202" t="s">
        <v>10</v>
      </c>
      <c r="C62" s="202"/>
      <c r="D62" s="202"/>
      <c r="E62" s="202"/>
      <c r="F62" s="202"/>
      <c r="G62" s="20"/>
      <c r="H62" s="217"/>
      <c r="I62" s="217"/>
      <c r="J62" s="217"/>
      <c r="K62" s="217"/>
      <c r="L62" s="217"/>
      <c r="M62" s="5"/>
      <c r="N62" s="5"/>
      <c r="O62" s="5"/>
      <c r="P62" s="5"/>
    </row>
    <row r="63" spans="1:16" x14ac:dyDescent="0.2">
      <c r="A63" s="20"/>
      <c r="B63" s="69"/>
      <c r="C63" s="69"/>
      <c r="D63" s="174"/>
      <c r="E63" s="174"/>
      <c r="F63" s="69"/>
      <c r="G63" s="20"/>
      <c r="H63" s="69"/>
      <c r="I63" s="69"/>
      <c r="J63" s="69"/>
      <c r="K63" s="69"/>
      <c r="L63" s="69"/>
      <c r="M63" s="5"/>
      <c r="N63" s="5"/>
      <c r="O63" s="5"/>
      <c r="P63" s="5"/>
    </row>
    <row r="64" spans="1:16" x14ac:dyDescent="0.2">
      <c r="A64" s="5" t="str">
        <f>'1-1.DOP'!$A$40</f>
        <v xml:space="preserve">Tāme sastādīta: </v>
      </c>
      <c r="B64" s="4"/>
      <c r="C64" s="5"/>
      <c r="D64" s="4"/>
      <c r="E64" s="4"/>
      <c r="F64" s="5"/>
      <c r="G64" s="5"/>
      <c r="H64" s="5"/>
      <c r="I64" s="5"/>
      <c r="J64" s="5"/>
      <c r="K64" s="5"/>
      <c r="L64" s="5"/>
      <c r="M64" s="5"/>
      <c r="N64" s="5"/>
      <c r="O64" s="5"/>
      <c r="P64" s="5"/>
    </row>
    <row r="65" spans="1:16" x14ac:dyDescent="0.2">
      <c r="A65" s="4"/>
      <c r="B65" s="4"/>
      <c r="C65" s="5"/>
      <c r="D65" s="4"/>
      <c r="E65" s="4"/>
      <c r="F65" s="5"/>
      <c r="G65" s="5"/>
      <c r="H65" s="5"/>
      <c r="I65" s="5"/>
      <c r="J65" s="5"/>
      <c r="K65" s="5"/>
      <c r="L65" s="5"/>
      <c r="M65" s="5"/>
      <c r="N65" s="5"/>
      <c r="O65" s="5"/>
      <c r="P65" s="5"/>
    </row>
    <row r="66" spans="1:16" x14ac:dyDescent="0.2">
      <c r="A66" s="20" t="s">
        <v>87</v>
      </c>
      <c r="B66" s="19"/>
      <c r="C66" s="19"/>
      <c r="D66" s="173"/>
      <c r="E66" s="173"/>
      <c r="F66" s="19"/>
      <c r="G66" s="68"/>
      <c r="H66" s="68"/>
      <c r="I66" s="68"/>
      <c r="J66" s="26"/>
      <c r="K66" s="5"/>
      <c r="L66" s="5"/>
      <c r="M66" s="5"/>
      <c r="N66" s="5"/>
      <c r="O66" s="5"/>
      <c r="P66" s="5"/>
    </row>
    <row r="67" spans="1:16" ht="11.45" customHeight="1" x14ac:dyDescent="0.2">
      <c r="A67" s="20"/>
      <c r="B67" s="217" t="s">
        <v>10</v>
      </c>
      <c r="C67" s="217"/>
      <c r="D67" s="217"/>
      <c r="E67" s="217"/>
      <c r="F67" s="217"/>
      <c r="G67" s="5"/>
      <c r="H67" s="5"/>
      <c r="I67" s="5"/>
      <c r="J67" s="5"/>
      <c r="K67" s="5"/>
      <c r="L67" s="5"/>
      <c r="M67" s="5"/>
      <c r="N67" s="5"/>
      <c r="O67" s="5"/>
      <c r="P67" s="5"/>
    </row>
    <row r="68" spans="1:16" x14ac:dyDescent="0.2">
      <c r="A68" s="4"/>
      <c r="B68" s="4"/>
      <c r="C68" s="5"/>
      <c r="D68" s="4"/>
      <c r="E68" s="4"/>
      <c r="F68" s="5"/>
      <c r="G68" s="5"/>
      <c r="H68" s="5"/>
      <c r="I68" s="5"/>
      <c r="J68" s="5"/>
      <c r="K68" s="5"/>
      <c r="L68" s="5"/>
      <c r="M68" s="5"/>
      <c r="N68" s="5"/>
      <c r="O68" s="5"/>
      <c r="P68" s="5"/>
    </row>
    <row r="69" spans="1:16" x14ac:dyDescent="0.2">
      <c r="A69" s="20" t="s">
        <v>11</v>
      </c>
      <c r="B69" s="20"/>
      <c r="C69" s="4"/>
      <c r="D69" s="4"/>
      <c r="E69" s="4"/>
      <c r="F69" s="5"/>
      <c r="G69" s="5"/>
      <c r="H69" s="5"/>
      <c r="I69" s="5"/>
      <c r="J69" s="5"/>
      <c r="K69" s="5"/>
      <c r="L69" s="5"/>
      <c r="M69" s="5"/>
      <c r="N69" s="5"/>
      <c r="O69" s="5"/>
      <c r="P69" s="5"/>
    </row>
    <row r="70" spans="1:16" x14ac:dyDescent="0.2">
      <c r="A70" s="5"/>
      <c r="B70" s="5"/>
      <c r="C70" s="5"/>
      <c r="D70" s="4"/>
      <c r="E70" s="4"/>
      <c r="F70" s="5"/>
      <c r="G70" s="5"/>
      <c r="H70" s="5"/>
      <c r="I70" s="5"/>
      <c r="J70" s="5"/>
      <c r="K70" s="5"/>
      <c r="L70" s="5"/>
      <c r="M70" s="5"/>
      <c r="N70" s="5"/>
      <c r="O70" s="5"/>
      <c r="P70" s="5"/>
    </row>
    <row r="71" spans="1:16" x14ac:dyDescent="0.2">
      <c r="A71" s="5"/>
      <c r="B71" s="5"/>
      <c r="C71" s="5"/>
      <c r="D71" s="4"/>
      <c r="E71" s="4"/>
      <c r="F71" s="5"/>
      <c r="G71" s="5"/>
      <c r="H71" s="5"/>
      <c r="I71" s="5"/>
      <c r="J71" s="5"/>
      <c r="K71" s="5"/>
      <c r="L71" s="5"/>
      <c r="M71" s="5"/>
      <c r="N71" s="5"/>
      <c r="O71" s="5"/>
      <c r="P71" s="5"/>
    </row>
    <row r="72" spans="1:16" x14ac:dyDescent="0.2">
      <c r="A72" s="213" t="s">
        <v>12</v>
      </c>
      <c r="B72" s="213"/>
      <c r="C72" s="213"/>
      <c r="D72" s="213"/>
      <c r="E72" s="213"/>
      <c r="F72" s="213"/>
      <c r="G72" s="213"/>
      <c r="H72" s="213"/>
      <c r="I72" s="213"/>
      <c r="J72" s="213"/>
      <c r="K72" s="213"/>
      <c r="L72" s="213"/>
      <c r="M72" s="213"/>
      <c r="N72" s="213"/>
      <c r="O72" s="213"/>
      <c r="P72" s="213"/>
    </row>
  </sheetData>
  <sheetProtection selectLockedCells="1" selectUnlockedCells="1"/>
  <mergeCells count="18">
    <mergeCell ref="A7:F7"/>
    <mergeCell ref="A1:Q1"/>
    <mergeCell ref="A2:Q2"/>
    <mergeCell ref="A3:P3"/>
    <mergeCell ref="A5:F5"/>
    <mergeCell ref="A6:F6"/>
    <mergeCell ref="A72:P72"/>
    <mergeCell ref="A11:A12"/>
    <mergeCell ref="B11:B12"/>
    <mergeCell ref="C11:C12"/>
    <mergeCell ref="D11:D12"/>
    <mergeCell ref="E11:E12"/>
    <mergeCell ref="F11:K11"/>
    <mergeCell ref="L11:P11"/>
    <mergeCell ref="B58:K58"/>
    <mergeCell ref="B62:F62"/>
    <mergeCell ref="H62:L62"/>
    <mergeCell ref="B67:F67"/>
  </mergeCells>
  <printOptions horizontalCentered="1"/>
  <pageMargins left="0.78749999999999998" right="0.39374999999999999" top="1.1812499999999999" bottom="0.39374999999999999" header="0.51180555555555551" footer="0.51180555555555551"/>
  <pageSetup paperSize="9" scale="74"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A8D6-CACD-439B-9354-FA8C9D44B5BC}">
  <dimension ref="A1:I46"/>
  <sheetViews>
    <sheetView showZeros="0" topLeftCell="A9" zoomScale="120" zoomScaleNormal="120" zoomScaleSheetLayoutView="100" workbookViewId="0">
      <selection activeCell="G25" sqref="G25"/>
    </sheetView>
  </sheetViews>
  <sheetFormatPr defaultColWidth="8.85546875" defaultRowHeight="12" x14ac:dyDescent="0.2"/>
  <cols>
    <col min="1" max="1" width="4.5703125" style="22" customWidth="1"/>
    <col min="2" max="2" width="6.42578125" style="22" customWidth="1"/>
    <col min="3" max="3" width="26.42578125" style="22" customWidth="1"/>
    <col min="4" max="4" width="12.5703125" style="22" customWidth="1"/>
    <col min="5" max="5" width="10.5703125" style="22" customWidth="1"/>
    <col min="6" max="6" width="13.5703125" style="22" customWidth="1"/>
    <col min="7" max="7" width="10.28515625" style="22" customWidth="1"/>
    <col min="8" max="8" width="9.28515625" style="22" customWidth="1"/>
    <col min="9" max="16384" width="8.85546875" style="22"/>
  </cols>
  <sheetData>
    <row r="1" spans="1:8" x14ac:dyDescent="0.2">
      <c r="A1" s="208" t="s">
        <v>13</v>
      </c>
      <c r="B1" s="208"/>
      <c r="C1" s="208"/>
      <c r="D1" s="208"/>
      <c r="E1" s="208"/>
      <c r="F1" s="208"/>
      <c r="G1" s="208"/>
      <c r="H1" s="208"/>
    </row>
    <row r="2" spans="1:8" ht="26.1" customHeight="1" x14ac:dyDescent="0.2">
      <c r="A2" s="209" t="s">
        <v>7</v>
      </c>
      <c r="B2" s="209"/>
      <c r="C2" s="209"/>
      <c r="D2" s="209"/>
      <c r="E2" s="209"/>
      <c r="F2" s="209"/>
      <c r="G2" s="209"/>
      <c r="H2" s="209"/>
    </row>
    <row r="6" spans="1:8" s="23" customFormat="1" ht="27.6" customHeight="1" x14ac:dyDescent="0.2">
      <c r="A6" s="210" t="str">
        <f>Koptāme!$A$11</f>
        <v>Objekta nosaukums: Slaucamo govju kūts jaunbūve īpašumā
"Vecsašava"</v>
      </c>
      <c r="B6" s="210"/>
      <c r="C6" s="210"/>
      <c r="D6" s="210"/>
      <c r="E6" s="210"/>
      <c r="F6" s="210"/>
    </row>
    <row r="7" spans="1:8" ht="26.65" customHeight="1" x14ac:dyDescent="0.2">
      <c r="A7" s="210" t="str">
        <f>Koptāme!$A$12</f>
        <v>Objekta adrese: Īpašums "Vecsašava", Mālupes pagasts,
Alūksnes novads</v>
      </c>
      <c r="B7" s="210"/>
      <c r="C7" s="210"/>
      <c r="D7" s="210"/>
      <c r="E7" s="210"/>
      <c r="F7" s="210"/>
    </row>
    <row r="8" spans="1:8" ht="11.45" customHeight="1" x14ac:dyDescent="0.2">
      <c r="A8" s="210" t="str">
        <f>Koptāme!$A$13</f>
        <v>Pasūtītājs: Z/S "Jaunceriņi"</v>
      </c>
      <c r="B8" s="210"/>
      <c r="C8" s="210"/>
      <c r="D8" s="210"/>
      <c r="E8" s="210"/>
      <c r="F8" s="210"/>
    </row>
    <row r="9" spans="1:8" x14ac:dyDescent="0.2">
      <c r="A9" s="24"/>
      <c r="B9" s="2"/>
      <c r="C9" s="2"/>
      <c r="D9" s="2"/>
      <c r="E9" s="2"/>
      <c r="F9" s="2"/>
    </row>
    <row r="10" spans="1:8" x14ac:dyDescent="0.2">
      <c r="A10" s="2"/>
      <c r="B10" s="2"/>
      <c r="C10" s="2"/>
      <c r="D10" s="2"/>
      <c r="E10" s="2"/>
      <c r="F10" s="2"/>
    </row>
    <row r="11" spans="1:8" ht="12.75" customHeight="1" x14ac:dyDescent="0.2">
      <c r="A11" s="2"/>
      <c r="B11" s="207" t="s">
        <v>14</v>
      </c>
      <c r="C11" s="207"/>
      <c r="D11" s="207"/>
      <c r="E11" s="25">
        <f>D30</f>
        <v>0</v>
      </c>
      <c r="F11" s="2"/>
    </row>
    <row r="12" spans="1:8" ht="12.75" customHeight="1" x14ac:dyDescent="0.2">
      <c r="A12" s="2"/>
      <c r="B12" s="207" t="s">
        <v>15</v>
      </c>
      <c r="C12" s="207"/>
      <c r="D12" s="207"/>
      <c r="E12" s="25">
        <f>H26</f>
        <v>0</v>
      </c>
      <c r="F12" s="2"/>
    </row>
    <row r="14" spans="1:8" s="26" customFormat="1" ht="12.75" customHeight="1" x14ac:dyDescent="0.2">
      <c r="A14" s="203" t="s">
        <v>16</v>
      </c>
      <c r="B14" s="203" t="s">
        <v>17</v>
      </c>
      <c r="C14" s="203" t="s">
        <v>18</v>
      </c>
      <c r="D14" s="203" t="s">
        <v>19</v>
      </c>
      <c r="E14" s="206" t="s">
        <v>20</v>
      </c>
      <c r="F14" s="206"/>
      <c r="G14" s="206"/>
      <c r="H14" s="203" t="s">
        <v>21</v>
      </c>
    </row>
    <row r="15" spans="1:8" s="26" customFormat="1" ht="39.75" customHeight="1" x14ac:dyDescent="0.2">
      <c r="A15" s="203"/>
      <c r="B15" s="203"/>
      <c r="C15" s="203"/>
      <c r="D15" s="203"/>
      <c r="E15" s="193" t="s">
        <v>22</v>
      </c>
      <c r="F15" s="193" t="s">
        <v>23</v>
      </c>
      <c r="G15" s="193" t="s">
        <v>24</v>
      </c>
      <c r="H15" s="203"/>
    </row>
    <row r="16" spans="1:8" ht="13.15" customHeight="1" x14ac:dyDescent="0.2">
      <c r="A16" s="13"/>
      <c r="B16" s="13"/>
      <c r="C16" s="27"/>
      <c r="D16" s="27"/>
      <c r="E16" s="13"/>
      <c r="F16" s="13"/>
      <c r="G16" s="13"/>
      <c r="H16" s="13"/>
    </row>
    <row r="17" spans="1:9" x14ac:dyDescent="0.2">
      <c r="A17" s="13">
        <v>1</v>
      </c>
      <c r="B17" s="28" t="s">
        <v>25</v>
      </c>
      <c r="C17" s="29" t="s">
        <v>26</v>
      </c>
      <c r="D17" s="30">
        <f t="shared" ref="D17:D23" si="0">SUM(E17:G17)</f>
        <v>0</v>
      </c>
      <c r="E17" s="30">
        <f>'1-1.DOP'!M34</f>
        <v>0</v>
      </c>
      <c r="F17" s="30">
        <f>'1-1.DOP'!N34</f>
        <v>0</v>
      </c>
      <c r="G17" s="30">
        <f>'1-1.DOP'!O34</f>
        <v>0</v>
      </c>
      <c r="H17" s="30">
        <f>'1-1.DOP'!L34</f>
        <v>0</v>
      </c>
      <c r="I17" s="31"/>
    </row>
    <row r="18" spans="1:9" x14ac:dyDescent="0.2">
      <c r="A18" s="13">
        <f>A17+1</f>
        <v>2</v>
      </c>
      <c r="B18" s="28" t="s">
        <v>27</v>
      </c>
      <c r="C18" s="29" t="s">
        <v>28</v>
      </c>
      <c r="D18" s="30">
        <f t="shared" si="0"/>
        <v>0</v>
      </c>
      <c r="E18" s="30">
        <f>'1-2.ZD'!M28</f>
        <v>0</v>
      </c>
      <c r="F18" s="30">
        <f>'1-2.ZD'!N28</f>
        <v>0</v>
      </c>
      <c r="G18" s="30">
        <f>'1-2.ZD'!O28</f>
        <v>0</v>
      </c>
      <c r="H18" s="30">
        <f>'1-2.ZD'!L28</f>
        <v>0</v>
      </c>
      <c r="I18" s="31"/>
    </row>
    <row r="19" spans="1:9" ht="24" x14ac:dyDescent="0.2">
      <c r="A19" s="13">
        <f t="shared" ref="A19:A24" si="1">A18+1</f>
        <v>3</v>
      </c>
      <c r="B19" s="28" t="s">
        <v>29</v>
      </c>
      <c r="C19" s="32" t="s">
        <v>30</v>
      </c>
      <c r="D19" s="30">
        <f t="shared" si="0"/>
        <v>0</v>
      </c>
      <c r="E19" s="30">
        <f>'1-3.Govju_kūts'!M256</f>
        <v>0</v>
      </c>
      <c r="F19" s="30">
        <f>'1-3.Govju_kūts'!N256</f>
        <v>0</v>
      </c>
      <c r="G19" s="30">
        <f>'1-3.Govju_kūts'!O256</f>
        <v>0</v>
      </c>
      <c r="H19" s="30">
        <f>'1-3.Govju_kūts'!L256</f>
        <v>0</v>
      </c>
      <c r="I19" s="31"/>
    </row>
    <row r="20" spans="1:9" x14ac:dyDescent="0.2">
      <c r="A20" s="13">
        <f t="shared" si="1"/>
        <v>4</v>
      </c>
      <c r="B20" s="28" t="s">
        <v>31</v>
      </c>
      <c r="C20" s="29" t="s">
        <v>32</v>
      </c>
      <c r="D20" s="30">
        <f t="shared" si="0"/>
        <v>0</v>
      </c>
      <c r="E20" s="30">
        <f>'1-4.GP'!M51</f>
        <v>0</v>
      </c>
      <c r="F20" s="30">
        <f>'1-4.GP'!N51</f>
        <v>0</v>
      </c>
      <c r="G20" s="30">
        <f>'1-4.GP'!O51</f>
        <v>0</v>
      </c>
      <c r="H20" s="30">
        <f>'1-4.GP'!L51</f>
        <v>0</v>
      </c>
      <c r="I20" s="31"/>
    </row>
    <row r="21" spans="1:9" x14ac:dyDescent="0.2">
      <c r="A21" s="13">
        <f t="shared" si="1"/>
        <v>5</v>
      </c>
      <c r="B21" s="28" t="s">
        <v>33</v>
      </c>
      <c r="C21" s="29" t="s">
        <v>34</v>
      </c>
      <c r="D21" s="30">
        <f t="shared" si="0"/>
        <v>0</v>
      </c>
      <c r="E21" s="30">
        <f>'1-5. EL'!M68</f>
        <v>0</v>
      </c>
      <c r="F21" s="30">
        <f>'1-5. EL'!N68</f>
        <v>0</v>
      </c>
      <c r="G21" s="30">
        <f>'1-5. EL'!O68</f>
        <v>0</v>
      </c>
      <c r="H21" s="30">
        <f>'1-5. EL'!L68</f>
        <v>0</v>
      </c>
      <c r="I21" s="31"/>
    </row>
    <row r="22" spans="1:9" x14ac:dyDescent="0.2">
      <c r="A22" s="13">
        <f t="shared" si="1"/>
        <v>6</v>
      </c>
      <c r="B22" s="28" t="s">
        <v>35</v>
      </c>
      <c r="C22" s="29" t="s">
        <v>36</v>
      </c>
      <c r="D22" s="30">
        <f t="shared" si="0"/>
        <v>0</v>
      </c>
      <c r="E22" s="30">
        <f>'1-6. ELT'!M52</f>
        <v>0</v>
      </c>
      <c r="F22" s="30">
        <f>'1-6. ELT'!N52</f>
        <v>0</v>
      </c>
      <c r="G22" s="30">
        <f>'1-6. ELT'!O52</f>
        <v>0</v>
      </c>
      <c r="H22" s="30">
        <f>'1-6. ELT'!L52</f>
        <v>0</v>
      </c>
      <c r="I22" s="31"/>
    </row>
    <row r="23" spans="1:9" ht="14.25" customHeight="1" x14ac:dyDescent="0.2">
      <c r="A23" s="13">
        <f t="shared" si="1"/>
        <v>7</v>
      </c>
      <c r="B23" s="28" t="s">
        <v>37</v>
      </c>
      <c r="C23" s="29" t="s">
        <v>38</v>
      </c>
      <c r="D23" s="30">
        <f t="shared" si="0"/>
        <v>0</v>
      </c>
      <c r="E23" s="30">
        <f>'1-7. UK'!M76</f>
        <v>0</v>
      </c>
      <c r="F23" s="30">
        <f>'1-7. UK'!N76</f>
        <v>0</v>
      </c>
      <c r="G23" s="30">
        <f>'1-7. UK'!O76</f>
        <v>0</v>
      </c>
      <c r="H23" s="30">
        <f>'1-7. UK'!L76</f>
        <v>0</v>
      </c>
      <c r="I23" s="31"/>
    </row>
    <row r="24" spans="1:9" ht="14.25" customHeight="1" x14ac:dyDescent="0.2">
      <c r="A24" s="13">
        <f t="shared" si="1"/>
        <v>8</v>
      </c>
      <c r="B24" s="28" t="s">
        <v>39</v>
      </c>
      <c r="C24" s="29" t="s">
        <v>40</v>
      </c>
      <c r="D24" s="30">
        <f>SUM(E24:G24)</f>
        <v>0</v>
      </c>
      <c r="E24" s="30">
        <f>'1-8.UKT'!M58</f>
        <v>0</v>
      </c>
      <c r="F24" s="30">
        <f>'1-8.UKT'!N58</f>
        <v>0</v>
      </c>
      <c r="G24" s="30">
        <f>'1-8.UKT'!O58</f>
        <v>0</v>
      </c>
      <c r="H24" s="30">
        <f>'1-8.UKT'!L58</f>
        <v>0</v>
      </c>
      <c r="I24" s="31"/>
    </row>
    <row r="25" spans="1:9" x14ac:dyDescent="0.2">
      <c r="A25" s="13"/>
      <c r="B25" s="28"/>
      <c r="C25" s="33"/>
      <c r="D25" s="195"/>
      <c r="E25" s="30"/>
      <c r="F25" s="30"/>
      <c r="G25" s="30"/>
      <c r="H25" s="30"/>
      <c r="I25" s="31"/>
    </row>
    <row r="26" spans="1:9" s="26" customFormat="1" x14ac:dyDescent="0.2">
      <c r="A26" s="34"/>
      <c r="B26" s="34"/>
      <c r="C26" s="35" t="s">
        <v>41</v>
      </c>
      <c r="D26" s="36">
        <f>SUM(D16:D25)</f>
        <v>0</v>
      </c>
      <c r="E26" s="36">
        <f>SUM(E16:E25)</f>
        <v>0</v>
      </c>
      <c r="F26" s="36">
        <f>SUM(F16:F25)</f>
        <v>0</v>
      </c>
      <c r="G26" s="36">
        <f>SUM(G16:G25)</f>
        <v>0</v>
      </c>
      <c r="H26" s="36">
        <f>SUM(H16:H25)</f>
        <v>0</v>
      </c>
      <c r="I26" s="31"/>
    </row>
    <row r="27" spans="1:9" s="26" customFormat="1" x14ac:dyDescent="0.2">
      <c r="A27" s="34"/>
      <c r="B27" s="34"/>
      <c r="C27" s="37" t="s">
        <v>456</v>
      </c>
      <c r="D27" s="38">
        <f>ROUND(D26*0.08,2)</f>
        <v>0</v>
      </c>
      <c r="E27" s="39"/>
      <c r="F27" s="39"/>
      <c r="G27" s="39"/>
      <c r="H27" s="39"/>
      <c r="I27" s="31"/>
    </row>
    <row r="28" spans="1:9" s="26" customFormat="1" x14ac:dyDescent="0.2">
      <c r="A28" s="34"/>
      <c r="B28" s="34"/>
      <c r="C28" s="40" t="s">
        <v>42</v>
      </c>
      <c r="D28" s="38">
        <f>ROUND(D27*0.03,2)</f>
        <v>0</v>
      </c>
      <c r="E28" s="39"/>
      <c r="F28" s="39"/>
      <c r="G28" s="39"/>
      <c r="H28" s="39"/>
      <c r="I28" s="31"/>
    </row>
    <row r="29" spans="1:9" s="26" customFormat="1" x14ac:dyDescent="0.2">
      <c r="A29" s="34"/>
      <c r="B29" s="34"/>
      <c r="C29" s="37" t="s">
        <v>457</v>
      </c>
      <c r="D29" s="38">
        <f>ROUND(D26*0.05,2)</f>
        <v>0</v>
      </c>
      <c r="E29" s="39"/>
      <c r="F29" s="39"/>
      <c r="G29" s="39"/>
      <c r="H29" s="39"/>
      <c r="I29" s="31"/>
    </row>
    <row r="30" spans="1:9" s="26" customFormat="1" x14ac:dyDescent="0.2">
      <c r="A30" s="34"/>
      <c r="B30" s="34"/>
      <c r="C30" s="35" t="s">
        <v>8</v>
      </c>
      <c r="D30" s="41">
        <f>D26+D27+D29</f>
        <v>0</v>
      </c>
      <c r="E30" s="42"/>
      <c r="F30" s="39"/>
      <c r="G30" s="39"/>
      <c r="H30" s="39"/>
      <c r="I30" s="31"/>
    </row>
    <row r="31" spans="1:9" s="26" customFormat="1" x14ac:dyDescent="0.2">
      <c r="C31" s="43"/>
      <c r="D31" s="44"/>
      <c r="E31" s="42"/>
      <c r="F31" s="39"/>
      <c r="G31" s="39"/>
      <c r="H31" s="39"/>
    </row>
    <row r="32" spans="1:9" s="26" customFormat="1" ht="39.6" customHeight="1" x14ac:dyDescent="0.2">
      <c r="C32" s="204" t="s">
        <v>43</v>
      </c>
      <c r="D32" s="204"/>
      <c r="E32" s="204"/>
      <c r="F32" s="204"/>
      <c r="G32" s="204"/>
      <c r="H32" s="204"/>
    </row>
    <row r="33" spans="1:8" s="26" customFormat="1" x14ac:dyDescent="0.2"/>
    <row r="34" spans="1:8" s="26" customFormat="1" x14ac:dyDescent="0.2"/>
    <row r="35" spans="1:8" s="26" customFormat="1" x14ac:dyDescent="0.2">
      <c r="C35" s="19" t="s">
        <v>9</v>
      </c>
      <c r="D35" s="205"/>
      <c r="E35" s="205"/>
      <c r="F35" s="205"/>
      <c r="G35" s="205"/>
      <c r="H35" s="205"/>
    </row>
    <row r="36" spans="1:8" s="26" customFormat="1" ht="11.65" customHeight="1" x14ac:dyDescent="0.2">
      <c r="C36" s="202" t="s">
        <v>10</v>
      </c>
      <c r="D36" s="202"/>
      <c r="E36" s="202"/>
      <c r="F36" s="202"/>
      <c r="G36" s="202"/>
      <c r="H36" s="202"/>
    </row>
    <row r="37" spans="1:8" s="26" customFormat="1" x14ac:dyDescent="0.2">
      <c r="C37" s="20"/>
      <c r="D37" s="20"/>
      <c r="E37" s="21"/>
    </row>
    <row r="38" spans="1:8" x14ac:dyDescent="0.2">
      <c r="C38" s="22" t="str">
        <f>Koptāme!$A$28</f>
        <v xml:space="preserve">Tāme sastādīta: </v>
      </c>
    </row>
    <row r="39" spans="1:8" x14ac:dyDescent="0.2">
      <c r="C39" s="20"/>
      <c r="D39" s="20"/>
      <c r="E39" s="20"/>
    </row>
    <row r="40" spans="1:8" x14ac:dyDescent="0.2">
      <c r="C40" s="21"/>
      <c r="D40" s="21"/>
      <c r="E40" s="20"/>
    </row>
    <row r="41" spans="1:8" x14ac:dyDescent="0.2">
      <c r="C41" s="19" t="s">
        <v>44</v>
      </c>
      <c r="D41" s="205"/>
      <c r="E41" s="205"/>
      <c r="F41" s="205"/>
      <c r="G41" s="205"/>
      <c r="H41" s="205"/>
    </row>
    <row r="42" spans="1:8" ht="11.65" customHeight="1" x14ac:dyDescent="0.2">
      <c r="C42" s="202" t="s">
        <v>10</v>
      </c>
      <c r="D42" s="202"/>
      <c r="E42" s="202"/>
      <c r="F42" s="202"/>
      <c r="G42" s="202"/>
      <c r="H42" s="202"/>
    </row>
    <row r="43" spans="1:8" x14ac:dyDescent="0.2">
      <c r="C43" s="20" t="s">
        <v>11</v>
      </c>
    </row>
    <row r="46" spans="1:8" x14ac:dyDescent="0.2">
      <c r="A46" s="198" t="s">
        <v>12</v>
      </c>
      <c r="B46" s="198"/>
      <c r="C46" s="198"/>
      <c r="D46" s="198"/>
      <c r="E46" s="198"/>
      <c r="F46" s="198"/>
      <c r="G46" s="198"/>
      <c r="H46" s="198"/>
    </row>
  </sheetData>
  <sheetProtection selectLockedCells="1" selectUnlockedCells="1"/>
  <mergeCells count="19">
    <mergeCell ref="B11:D11"/>
    <mergeCell ref="A1:H1"/>
    <mergeCell ref="A2:H2"/>
    <mergeCell ref="A6:F6"/>
    <mergeCell ref="A7:F7"/>
    <mergeCell ref="A8:F8"/>
    <mergeCell ref="B12:D12"/>
    <mergeCell ref="A14:A15"/>
    <mergeCell ref="B14:B15"/>
    <mergeCell ref="C14:C15"/>
    <mergeCell ref="D14:D15"/>
    <mergeCell ref="A46:H46"/>
    <mergeCell ref="H14:H15"/>
    <mergeCell ref="C32:H32"/>
    <mergeCell ref="D35:H35"/>
    <mergeCell ref="C36:H36"/>
    <mergeCell ref="D41:H41"/>
    <mergeCell ref="C42:H42"/>
    <mergeCell ref="E14:G14"/>
  </mergeCells>
  <printOptions horizontalCentered="1"/>
  <pageMargins left="1.1812499999999999" right="0.39374999999999999" top="0.78749999999999998" bottom="0.39374999999999999" header="0.51180555555555551" footer="0.51180555555555551"/>
  <pageSetup paperSize="9" scale="80"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21C1D-23ED-4437-B0C7-0565788F4C52}">
  <dimension ref="A1:P48"/>
  <sheetViews>
    <sheetView showZeros="0" topLeftCell="A12" zoomScaleSheetLayoutView="85" workbookViewId="0">
      <selection activeCell="L20" sqref="L20"/>
    </sheetView>
  </sheetViews>
  <sheetFormatPr defaultColWidth="8.85546875" defaultRowHeight="12" x14ac:dyDescent="0.2"/>
  <cols>
    <col min="1" max="2" width="5.85546875" style="45" customWidth="1"/>
    <col min="3" max="3" width="41" style="1" customWidth="1"/>
    <col min="4" max="4" width="8.85546875" style="1"/>
    <col min="5" max="5" width="8.85546875" style="46"/>
    <col min="6" max="9" width="8.85546875" style="1"/>
    <col min="10" max="10" width="9.85546875" style="1" customWidth="1"/>
    <col min="11" max="11" width="8.85546875" style="1"/>
    <col min="12" max="16" width="11.85546875" style="1" customWidth="1"/>
    <col min="17" max="17" width="8.85546875" style="1"/>
    <col min="18" max="18" width="16.7109375" style="1" customWidth="1"/>
    <col min="19" max="16384" width="8.85546875" style="1"/>
  </cols>
  <sheetData>
    <row r="1" spans="1:16" x14ac:dyDescent="0.2">
      <c r="A1" s="199" t="s">
        <v>45</v>
      </c>
      <c r="B1" s="199"/>
      <c r="C1" s="199"/>
      <c r="D1" s="199"/>
      <c r="E1" s="199"/>
      <c r="F1" s="199"/>
      <c r="G1" s="199"/>
      <c r="H1" s="199"/>
      <c r="I1" s="199"/>
      <c r="J1" s="199"/>
      <c r="K1" s="199"/>
      <c r="L1" s="199"/>
      <c r="M1" s="199"/>
      <c r="N1" s="199"/>
      <c r="O1" s="199"/>
      <c r="P1" s="199"/>
    </row>
    <row r="2" spans="1:16" x14ac:dyDescent="0.2">
      <c r="A2" s="199" t="s">
        <v>26</v>
      </c>
      <c r="B2" s="199"/>
      <c r="C2" s="199"/>
      <c r="D2" s="199"/>
      <c r="E2" s="199"/>
      <c r="F2" s="199"/>
      <c r="G2" s="199"/>
      <c r="H2" s="199"/>
      <c r="I2" s="199"/>
      <c r="J2" s="199"/>
      <c r="K2" s="199"/>
      <c r="L2" s="199"/>
      <c r="M2" s="199"/>
      <c r="N2" s="199"/>
      <c r="O2" s="199"/>
      <c r="P2" s="199"/>
    </row>
    <row r="3" spans="1:16" x14ac:dyDescent="0.2">
      <c r="A3" s="213" t="s">
        <v>46</v>
      </c>
      <c r="B3" s="213"/>
      <c r="C3" s="213"/>
      <c r="D3" s="213"/>
      <c r="E3" s="213"/>
      <c r="F3" s="213"/>
      <c r="G3" s="213"/>
      <c r="H3" s="213"/>
      <c r="I3" s="213"/>
      <c r="J3" s="213"/>
      <c r="K3" s="213"/>
      <c r="L3" s="213"/>
      <c r="M3" s="213"/>
      <c r="N3" s="213"/>
      <c r="O3" s="213"/>
      <c r="P3" s="213"/>
    </row>
    <row r="4" spans="1:16" x14ac:dyDescent="0.2">
      <c r="A4" s="47"/>
      <c r="B4" s="48"/>
      <c r="C4" s="48"/>
      <c r="D4" s="49"/>
      <c r="E4" s="50"/>
      <c r="F4" s="7"/>
      <c r="G4" s="7"/>
      <c r="H4" s="2"/>
      <c r="I4" s="7"/>
      <c r="J4" s="7"/>
      <c r="K4" s="7"/>
      <c r="L4" s="7"/>
      <c r="M4" s="7"/>
      <c r="N4" s="7"/>
      <c r="O4" s="7"/>
    </row>
    <row r="5" spans="1:16" ht="24.6" customHeight="1" x14ac:dyDescent="0.2">
      <c r="A5" s="210" t="str">
        <f>Koptāme!$A$11</f>
        <v>Objekta nosaukums: Slaucamo govju kūts jaunbūve īpašumā
"Vecsašava"</v>
      </c>
      <c r="B5" s="210"/>
      <c r="C5" s="210"/>
      <c r="D5" s="210"/>
      <c r="E5" s="210"/>
      <c r="F5" s="210"/>
      <c r="G5" s="51"/>
      <c r="H5" s="51"/>
      <c r="I5" s="51"/>
      <c r="J5" s="51"/>
      <c r="K5" s="51"/>
      <c r="L5" s="51"/>
      <c r="M5" s="51"/>
      <c r="N5" s="51"/>
    </row>
    <row r="6" spans="1:16" ht="23.1" customHeight="1" x14ac:dyDescent="0.2">
      <c r="A6" s="210" t="str">
        <f>Koptāme!$A$12</f>
        <v>Objekta adrese: Īpašums "Vecsašava", Mālupes pagasts,
Alūksnes novads</v>
      </c>
      <c r="B6" s="210"/>
      <c r="C6" s="210"/>
      <c r="D6" s="210"/>
      <c r="E6" s="210"/>
      <c r="F6" s="210"/>
      <c r="G6" s="2"/>
      <c r="H6" s="7"/>
      <c r="I6" s="7"/>
      <c r="J6" s="7"/>
      <c r="K6" s="7"/>
      <c r="L6" s="7"/>
      <c r="M6" s="7"/>
      <c r="N6" s="7"/>
    </row>
    <row r="7" spans="1:16" ht="14.25" customHeight="1" x14ac:dyDescent="0.2">
      <c r="A7" s="210" t="str">
        <f>Koptāme!$A$13</f>
        <v>Pasūtītājs: Z/S "Jaunceriņi"</v>
      </c>
      <c r="B7" s="210"/>
      <c r="C7" s="210"/>
      <c r="D7" s="210"/>
      <c r="E7" s="210"/>
      <c r="F7" s="210"/>
      <c r="G7" s="2"/>
      <c r="H7" s="7"/>
      <c r="I7" s="7"/>
      <c r="J7" s="7"/>
      <c r="K7" s="7"/>
      <c r="L7" s="7"/>
      <c r="M7" s="7"/>
      <c r="N7" s="7"/>
    </row>
    <row r="8" spans="1:16" x14ac:dyDescent="0.2">
      <c r="A8" s="49"/>
      <c r="B8" s="47"/>
      <c r="C8" s="49"/>
      <c r="D8" s="52"/>
      <c r="E8" s="53"/>
      <c r="F8" s="52"/>
      <c r="G8" s="52"/>
      <c r="H8" s="52"/>
      <c r="I8" s="52"/>
      <c r="J8" s="52"/>
      <c r="K8" s="52"/>
      <c r="L8" s="52"/>
      <c r="M8" s="52"/>
      <c r="N8" s="52"/>
      <c r="O8" s="54" t="s">
        <v>47</v>
      </c>
      <c r="P8" s="55">
        <f>P34</f>
        <v>0</v>
      </c>
    </row>
    <row r="9" spans="1:16" x14ac:dyDescent="0.2">
      <c r="A9" s="49"/>
      <c r="B9" s="47"/>
      <c r="C9" s="49"/>
      <c r="D9" s="52"/>
      <c r="E9" s="53"/>
      <c r="F9" s="52"/>
      <c r="G9" s="52"/>
      <c r="H9" s="52"/>
      <c r="I9" s="52"/>
      <c r="J9" s="52"/>
      <c r="K9" s="52"/>
      <c r="L9" s="52"/>
      <c r="M9" s="52"/>
      <c r="N9" s="56" t="str">
        <f>Koptāme!$A$28</f>
        <v xml:space="preserve">Tāme sastādīta: </v>
      </c>
      <c r="O9" s="57"/>
      <c r="P9" s="52"/>
    </row>
    <row r="11" spans="1:16" ht="12.75" customHeight="1" x14ac:dyDescent="0.2">
      <c r="A11" s="214" t="s">
        <v>48</v>
      </c>
      <c r="B11" s="215" t="s">
        <v>49</v>
      </c>
      <c r="C11" s="214" t="s">
        <v>50</v>
      </c>
      <c r="D11" s="214" t="s">
        <v>51</v>
      </c>
      <c r="E11" s="216" t="s">
        <v>52</v>
      </c>
      <c r="F11" s="211" t="s">
        <v>53</v>
      </c>
      <c r="G11" s="211"/>
      <c r="H11" s="211"/>
      <c r="I11" s="211"/>
      <c r="J11" s="211"/>
      <c r="K11" s="211"/>
      <c r="L11" s="211" t="s">
        <v>54</v>
      </c>
      <c r="M11" s="211"/>
      <c r="N11" s="211"/>
      <c r="O11" s="211"/>
      <c r="P11" s="211"/>
    </row>
    <row r="12" spans="1:16" ht="96" x14ac:dyDescent="0.2">
      <c r="A12" s="214"/>
      <c r="B12" s="215"/>
      <c r="C12" s="214"/>
      <c r="D12" s="214"/>
      <c r="E12" s="216"/>
      <c r="F12" s="194" t="s">
        <v>55</v>
      </c>
      <c r="G12" s="194" t="s">
        <v>56</v>
      </c>
      <c r="H12" s="194" t="s">
        <v>57</v>
      </c>
      <c r="I12" s="194" t="s">
        <v>23</v>
      </c>
      <c r="J12" s="194" t="s">
        <v>58</v>
      </c>
      <c r="K12" s="194" t="s">
        <v>59</v>
      </c>
      <c r="L12" s="194" t="s">
        <v>60</v>
      </c>
      <c r="M12" s="194" t="s">
        <v>57</v>
      </c>
      <c r="N12" s="194" t="s">
        <v>23</v>
      </c>
      <c r="O12" s="194" t="s">
        <v>58</v>
      </c>
      <c r="P12" s="194" t="s">
        <v>61</v>
      </c>
    </row>
    <row r="13" spans="1:16" x14ac:dyDescent="0.2">
      <c r="A13" s="194">
        <v>1</v>
      </c>
      <c r="B13" s="194">
        <v>2</v>
      </c>
      <c r="C13" s="194">
        <v>3</v>
      </c>
      <c r="D13" s="194">
        <v>4</v>
      </c>
      <c r="E13" s="196">
        <v>5</v>
      </c>
      <c r="F13" s="194">
        <v>6</v>
      </c>
      <c r="G13" s="194">
        <v>7</v>
      </c>
      <c r="H13" s="194">
        <v>8</v>
      </c>
      <c r="I13" s="194">
        <v>9</v>
      </c>
      <c r="J13" s="194">
        <v>10</v>
      </c>
      <c r="K13" s="194">
        <v>11</v>
      </c>
      <c r="L13" s="194">
        <v>12</v>
      </c>
      <c r="M13" s="194">
        <v>13</v>
      </c>
      <c r="N13" s="194">
        <v>14</v>
      </c>
      <c r="O13" s="194">
        <v>15</v>
      </c>
      <c r="P13" s="194">
        <v>16</v>
      </c>
    </row>
    <row r="14" spans="1:16" x14ac:dyDescent="0.2">
      <c r="A14" s="58"/>
      <c r="B14" s="59"/>
      <c r="C14" s="60" t="s">
        <v>62</v>
      </c>
      <c r="D14" s="61"/>
      <c r="E14" s="62"/>
      <c r="F14" s="58"/>
      <c r="G14" s="58"/>
      <c r="H14" s="58"/>
      <c r="I14" s="58"/>
      <c r="J14" s="58"/>
      <c r="K14" s="58"/>
      <c r="L14" s="58"/>
      <c r="M14" s="58"/>
      <c r="N14" s="58"/>
      <c r="O14" s="58"/>
      <c r="P14" s="58"/>
    </row>
    <row r="15" spans="1:16" x14ac:dyDescent="0.2">
      <c r="A15" s="59">
        <v>1</v>
      </c>
      <c r="B15" s="59" t="s">
        <v>63</v>
      </c>
      <c r="C15" s="14" t="s">
        <v>64</v>
      </c>
      <c r="D15" s="13" t="s">
        <v>65</v>
      </c>
      <c r="E15" s="63">
        <f>50</f>
        <v>50</v>
      </c>
      <c r="F15" s="64"/>
      <c r="G15" s="64"/>
      <c r="H15" s="64"/>
      <c r="I15" s="64"/>
      <c r="J15" s="64"/>
      <c r="K15" s="64"/>
      <c r="L15" s="64"/>
      <c r="M15" s="64"/>
      <c r="N15" s="64"/>
      <c r="O15" s="64"/>
      <c r="P15" s="64"/>
    </row>
    <row r="16" spans="1:16" x14ac:dyDescent="0.2">
      <c r="A16" s="59">
        <f>A15+1</f>
        <v>2</v>
      </c>
      <c r="B16" s="59" t="s">
        <v>63</v>
      </c>
      <c r="C16" s="14" t="s">
        <v>66</v>
      </c>
      <c r="D16" s="13" t="s">
        <v>65</v>
      </c>
      <c r="E16" s="63">
        <f>E15</f>
        <v>50</v>
      </c>
      <c r="F16" s="64"/>
      <c r="G16" s="64"/>
      <c r="H16" s="64"/>
      <c r="I16" s="64"/>
      <c r="J16" s="64"/>
      <c r="K16" s="64"/>
      <c r="L16" s="64"/>
      <c r="M16" s="64"/>
      <c r="N16" s="64"/>
      <c r="O16" s="64"/>
      <c r="P16" s="64"/>
    </row>
    <row r="17" spans="1:16" x14ac:dyDescent="0.2">
      <c r="A17" s="59">
        <f t="shared" ref="A17:A32" si="0">A16+1</f>
        <v>3</v>
      </c>
      <c r="B17" s="59" t="s">
        <v>63</v>
      </c>
      <c r="C17" s="14" t="s">
        <v>67</v>
      </c>
      <c r="D17" s="13" t="s">
        <v>68</v>
      </c>
      <c r="E17" s="63">
        <v>1</v>
      </c>
      <c r="F17" s="64"/>
      <c r="G17" s="64"/>
      <c r="H17" s="64"/>
      <c r="I17" s="64"/>
      <c r="J17" s="64"/>
      <c r="K17" s="64"/>
      <c r="L17" s="64"/>
      <c r="M17" s="64"/>
      <c r="N17" s="64"/>
      <c r="O17" s="64"/>
      <c r="P17" s="64"/>
    </row>
    <row r="18" spans="1:16" x14ac:dyDescent="0.2">
      <c r="A18" s="59">
        <f t="shared" si="0"/>
        <v>4</v>
      </c>
      <c r="B18" s="59" t="s">
        <v>63</v>
      </c>
      <c r="C18" s="14" t="s">
        <v>69</v>
      </c>
      <c r="D18" s="13" t="s">
        <v>70</v>
      </c>
      <c r="E18" s="63">
        <v>12</v>
      </c>
      <c r="F18" s="64"/>
      <c r="G18" s="64"/>
      <c r="H18" s="64"/>
      <c r="I18" s="64"/>
      <c r="J18" s="64"/>
      <c r="K18" s="64"/>
      <c r="L18" s="64"/>
      <c r="M18" s="64"/>
      <c r="N18" s="64"/>
      <c r="O18" s="64"/>
      <c r="P18" s="64"/>
    </row>
    <row r="19" spans="1:16" x14ac:dyDescent="0.2">
      <c r="A19" s="59">
        <f t="shared" si="0"/>
        <v>5</v>
      </c>
      <c r="B19" s="59" t="s">
        <v>63</v>
      </c>
      <c r="C19" s="14" t="s">
        <v>71</v>
      </c>
      <c r="D19" s="13" t="s">
        <v>68</v>
      </c>
      <c r="E19" s="63">
        <v>1</v>
      </c>
      <c r="F19" s="64"/>
      <c r="G19" s="64"/>
      <c r="H19" s="64"/>
      <c r="I19" s="64"/>
      <c r="J19" s="64"/>
      <c r="K19" s="64"/>
      <c r="L19" s="64"/>
      <c r="M19" s="64"/>
      <c r="N19" s="64"/>
      <c r="O19" s="64"/>
      <c r="P19" s="64"/>
    </row>
    <row r="20" spans="1:16" ht="36" x14ac:dyDescent="0.2">
      <c r="A20" s="59">
        <f t="shared" si="0"/>
        <v>6</v>
      </c>
      <c r="B20" s="59" t="s">
        <v>63</v>
      </c>
      <c r="C20" s="14" t="s">
        <v>72</v>
      </c>
      <c r="D20" s="13" t="s">
        <v>70</v>
      </c>
      <c r="E20" s="63">
        <f>E18</f>
        <v>12</v>
      </c>
      <c r="F20" s="64"/>
      <c r="G20" s="64"/>
      <c r="H20" s="64"/>
      <c r="I20" s="64"/>
      <c r="J20" s="64"/>
      <c r="K20" s="64"/>
      <c r="L20" s="64"/>
      <c r="M20" s="64"/>
      <c r="N20" s="64"/>
      <c r="O20" s="64"/>
      <c r="P20" s="64"/>
    </row>
    <row r="21" spans="1:16" ht="24" x14ac:dyDescent="0.2">
      <c r="A21" s="59">
        <f t="shared" si="0"/>
        <v>7</v>
      </c>
      <c r="B21" s="59" t="s">
        <v>63</v>
      </c>
      <c r="C21" s="14" t="s">
        <v>73</v>
      </c>
      <c r="D21" s="13" t="s">
        <v>70</v>
      </c>
      <c r="E21" s="63">
        <f>E18</f>
        <v>12</v>
      </c>
      <c r="F21" s="64"/>
      <c r="G21" s="64"/>
      <c r="H21" s="64"/>
      <c r="I21" s="64"/>
      <c r="J21" s="64"/>
      <c r="K21" s="64"/>
      <c r="L21" s="64"/>
      <c r="M21" s="64"/>
      <c r="N21" s="64"/>
      <c r="O21" s="64"/>
      <c r="P21" s="64"/>
    </row>
    <row r="22" spans="1:16" ht="36" x14ac:dyDescent="0.2">
      <c r="A22" s="59">
        <f t="shared" si="0"/>
        <v>8</v>
      </c>
      <c r="B22" s="59" t="s">
        <v>63</v>
      </c>
      <c r="C22" s="14" t="s">
        <v>74</v>
      </c>
      <c r="D22" s="13" t="s">
        <v>70</v>
      </c>
      <c r="E22" s="63">
        <f>E20</f>
        <v>12</v>
      </c>
      <c r="F22" s="64"/>
      <c r="G22" s="64"/>
      <c r="H22" s="64"/>
      <c r="I22" s="64"/>
      <c r="J22" s="64"/>
      <c r="K22" s="64"/>
      <c r="L22" s="64"/>
      <c r="M22" s="64"/>
      <c r="N22" s="64"/>
      <c r="O22" s="64"/>
      <c r="P22" s="64"/>
    </row>
    <row r="23" spans="1:16" ht="24" x14ac:dyDescent="0.2">
      <c r="A23" s="59">
        <f t="shared" si="0"/>
        <v>9</v>
      </c>
      <c r="B23" s="59" t="s">
        <v>63</v>
      </c>
      <c r="C23" s="14" t="s">
        <v>75</v>
      </c>
      <c r="D23" s="13" t="s">
        <v>70</v>
      </c>
      <c r="E23" s="63">
        <f>E20</f>
        <v>12</v>
      </c>
      <c r="F23" s="64"/>
      <c r="G23" s="64"/>
      <c r="H23" s="64"/>
      <c r="I23" s="64"/>
      <c r="J23" s="64"/>
      <c r="K23" s="64"/>
      <c r="L23" s="64"/>
      <c r="M23" s="64"/>
      <c r="N23" s="64"/>
      <c r="O23" s="64"/>
      <c r="P23" s="64"/>
    </row>
    <row r="24" spans="1:16" ht="24" x14ac:dyDescent="0.2">
      <c r="A24" s="59">
        <f t="shared" si="0"/>
        <v>10</v>
      </c>
      <c r="B24" s="59" t="s">
        <v>63</v>
      </c>
      <c r="C24" s="14" t="s">
        <v>76</v>
      </c>
      <c r="D24" s="13" t="s">
        <v>70</v>
      </c>
      <c r="E24" s="63">
        <f>E20</f>
        <v>12</v>
      </c>
      <c r="F24" s="64"/>
      <c r="G24" s="64"/>
      <c r="H24" s="64"/>
      <c r="I24" s="64"/>
      <c r="J24" s="64"/>
      <c r="K24" s="64"/>
      <c r="L24" s="64"/>
      <c r="M24" s="64"/>
      <c r="N24" s="64"/>
      <c r="O24" s="64"/>
      <c r="P24" s="64"/>
    </row>
    <row r="25" spans="1:16" ht="24" x14ac:dyDescent="0.2">
      <c r="A25" s="59">
        <f t="shared" si="0"/>
        <v>11</v>
      </c>
      <c r="B25" s="59" t="s">
        <v>63</v>
      </c>
      <c r="C25" s="14" t="s">
        <v>77</v>
      </c>
      <c r="D25" s="13" t="s">
        <v>70</v>
      </c>
      <c r="E25" s="63">
        <f>E20</f>
        <v>12</v>
      </c>
      <c r="F25" s="64"/>
      <c r="G25" s="64"/>
      <c r="H25" s="64"/>
      <c r="I25" s="64"/>
      <c r="J25" s="64"/>
      <c r="K25" s="64"/>
      <c r="L25" s="64"/>
      <c r="M25" s="64"/>
      <c r="N25" s="64"/>
      <c r="O25" s="64"/>
      <c r="P25" s="64"/>
    </row>
    <row r="26" spans="1:16" x14ac:dyDescent="0.2">
      <c r="A26" s="59">
        <f t="shared" si="0"/>
        <v>12</v>
      </c>
      <c r="B26" s="59" t="s">
        <v>63</v>
      </c>
      <c r="C26" s="14" t="s">
        <v>78</v>
      </c>
      <c r="D26" s="13" t="s">
        <v>79</v>
      </c>
      <c r="E26" s="63">
        <v>1</v>
      </c>
      <c r="F26" s="64"/>
      <c r="G26" s="64"/>
      <c r="H26" s="64"/>
      <c r="I26" s="64"/>
      <c r="J26" s="64"/>
      <c r="K26" s="64"/>
      <c r="L26" s="64"/>
      <c r="M26" s="64"/>
      <c r="N26" s="64"/>
      <c r="O26" s="64"/>
      <c r="P26" s="64"/>
    </row>
    <row r="27" spans="1:16" x14ac:dyDescent="0.2">
      <c r="A27" s="59">
        <f t="shared" si="0"/>
        <v>13</v>
      </c>
      <c r="B27" s="59" t="s">
        <v>63</v>
      </c>
      <c r="C27" s="14" t="s">
        <v>80</v>
      </c>
      <c r="D27" s="13" t="s">
        <v>68</v>
      </c>
      <c r="E27" s="63">
        <v>1</v>
      </c>
      <c r="F27" s="64"/>
      <c r="G27" s="64"/>
      <c r="H27" s="64"/>
      <c r="I27" s="64"/>
      <c r="J27" s="64"/>
      <c r="K27" s="64"/>
      <c r="L27" s="64"/>
      <c r="M27" s="64"/>
      <c r="N27" s="64"/>
      <c r="O27" s="64"/>
      <c r="P27" s="64"/>
    </row>
    <row r="28" spans="1:16" x14ac:dyDescent="0.2">
      <c r="A28" s="59">
        <f t="shared" si="0"/>
        <v>14</v>
      </c>
      <c r="B28" s="59" t="s">
        <v>63</v>
      </c>
      <c r="C28" s="14" t="s">
        <v>81</v>
      </c>
      <c r="D28" s="13" t="s">
        <v>68</v>
      </c>
      <c r="E28" s="63">
        <v>1</v>
      </c>
      <c r="F28" s="64"/>
      <c r="G28" s="64"/>
      <c r="H28" s="64"/>
      <c r="I28" s="64"/>
      <c r="J28" s="64"/>
      <c r="K28" s="64"/>
      <c r="L28" s="64"/>
      <c r="M28" s="64"/>
      <c r="N28" s="64"/>
      <c r="O28" s="64"/>
      <c r="P28" s="64"/>
    </row>
    <row r="29" spans="1:16" x14ac:dyDescent="0.2">
      <c r="A29" s="59">
        <f t="shared" si="0"/>
        <v>15</v>
      </c>
      <c r="B29" s="59" t="s">
        <v>63</v>
      </c>
      <c r="C29" s="14" t="s">
        <v>82</v>
      </c>
      <c r="D29" s="13" t="s">
        <v>70</v>
      </c>
      <c r="E29" s="63">
        <f>E20</f>
        <v>12</v>
      </c>
      <c r="F29" s="64"/>
      <c r="G29" s="64"/>
      <c r="H29" s="64"/>
      <c r="I29" s="64"/>
      <c r="J29" s="64"/>
      <c r="K29" s="64"/>
      <c r="L29" s="64"/>
      <c r="M29" s="64"/>
      <c r="N29" s="64"/>
      <c r="O29" s="64"/>
      <c r="P29" s="64"/>
    </row>
    <row r="30" spans="1:16" x14ac:dyDescent="0.2">
      <c r="A30" s="59">
        <f t="shared" si="0"/>
        <v>16</v>
      </c>
      <c r="B30" s="59" t="s">
        <v>63</v>
      </c>
      <c r="C30" s="14" t="s">
        <v>83</v>
      </c>
      <c r="D30" s="13" t="s">
        <v>68</v>
      </c>
      <c r="E30" s="63">
        <v>8</v>
      </c>
      <c r="F30" s="64"/>
      <c r="G30" s="64"/>
      <c r="H30" s="64"/>
      <c r="I30" s="64"/>
      <c r="J30" s="64"/>
      <c r="K30" s="64"/>
      <c r="L30" s="64"/>
      <c r="M30" s="64"/>
      <c r="N30" s="64"/>
      <c r="O30" s="64"/>
      <c r="P30" s="64"/>
    </row>
    <row r="31" spans="1:16" x14ac:dyDescent="0.2">
      <c r="A31" s="59">
        <f t="shared" si="0"/>
        <v>17</v>
      </c>
      <c r="B31" s="59" t="s">
        <v>63</v>
      </c>
      <c r="C31" s="14" t="s">
        <v>84</v>
      </c>
      <c r="D31" s="13" t="s">
        <v>68</v>
      </c>
      <c r="E31" s="63">
        <v>1</v>
      </c>
      <c r="F31" s="64"/>
      <c r="G31" s="64"/>
      <c r="H31" s="64"/>
      <c r="I31" s="64"/>
      <c r="J31" s="64"/>
      <c r="K31" s="64"/>
      <c r="L31" s="64"/>
      <c r="M31" s="64"/>
      <c r="N31" s="64"/>
      <c r="O31" s="64"/>
      <c r="P31" s="64"/>
    </row>
    <row r="32" spans="1:16" x14ac:dyDescent="0.2">
      <c r="A32" s="59">
        <f t="shared" si="0"/>
        <v>18</v>
      </c>
      <c r="B32" s="59" t="s">
        <v>63</v>
      </c>
      <c r="C32" s="14" t="s">
        <v>85</v>
      </c>
      <c r="D32" s="13" t="s">
        <v>70</v>
      </c>
      <c r="E32" s="63">
        <f>E20</f>
        <v>12</v>
      </c>
      <c r="F32" s="64"/>
      <c r="G32" s="64"/>
      <c r="H32" s="64"/>
      <c r="I32" s="64"/>
      <c r="J32" s="64"/>
      <c r="K32" s="64"/>
      <c r="L32" s="64"/>
      <c r="M32" s="64"/>
      <c r="N32" s="64"/>
      <c r="O32" s="64"/>
      <c r="P32" s="64"/>
    </row>
    <row r="33" spans="1:16" x14ac:dyDescent="0.2">
      <c r="A33" s="59"/>
      <c r="B33" s="59"/>
      <c r="C33" s="14"/>
      <c r="D33" s="13"/>
      <c r="E33" s="63"/>
      <c r="F33" s="65"/>
      <c r="G33" s="65"/>
      <c r="H33" s="65"/>
      <c r="I33" s="65"/>
      <c r="J33" s="65"/>
      <c r="K33" s="65"/>
      <c r="L33" s="65"/>
      <c r="M33" s="65"/>
      <c r="N33" s="65"/>
      <c r="O33" s="65"/>
      <c r="P33" s="65"/>
    </row>
    <row r="34" spans="1:16" x14ac:dyDescent="0.2">
      <c r="A34" s="59"/>
      <c r="B34" s="212" t="s">
        <v>86</v>
      </c>
      <c r="C34" s="212"/>
      <c r="D34" s="212"/>
      <c r="E34" s="212"/>
      <c r="F34" s="212"/>
      <c r="G34" s="212"/>
      <c r="H34" s="212"/>
      <c r="I34" s="212"/>
      <c r="J34" s="212"/>
      <c r="K34" s="212"/>
      <c r="L34" s="66">
        <f>SUM(L15:L32)</f>
        <v>0</v>
      </c>
      <c r="M34" s="66">
        <f>SUM(M15:M32)</f>
        <v>0</v>
      </c>
      <c r="N34" s="66">
        <f>SUM(N15:N32)</f>
        <v>0</v>
      </c>
      <c r="O34" s="66">
        <f>SUM(O15:O32)</f>
        <v>0</v>
      </c>
      <c r="P34" s="66">
        <f>SUM(P15:P32)</f>
        <v>0</v>
      </c>
    </row>
    <row r="35" spans="1:16" x14ac:dyDescent="0.2">
      <c r="A35" s="5"/>
      <c r="B35" s="5"/>
      <c r="C35" s="9"/>
      <c r="D35" s="5"/>
      <c r="E35" s="67"/>
      <c r="F35" s="5"/>
      <c r="G35" s="5"/>
      <c r="H35" s="5"/>
      <c r="I35" s="5"/>
      <c r="J35" s="5"/>
      <c r="K35" s="5"/>
      <c r="L35" s="5"/>
      <c r="M35" s="5"/>
      <c r="N35" s="5"/>
      <c r="O35" s="5"/>
      <c r="P35" s="5"/>
    </row>
    <row r="36" spans="1:16" x14ac:dyDescent="0.2">
      <c r="A36" s="5"/>
      <c r="B36" s="5"/>
      <c r="C36" s="9"/>
      <c r="D36" s="5"/>
      <c r="E36" s="67"/>
      <c r="F36" s="5"/>
      <c r="G36" s="5"/>
      <c r="H36" s="5"/>
      <c r="I36" s="5"/>
      <c r="J36" s="5"/>
      <c r="K36" s="5"/>
      <c r="L36" s="5"/>
      <c r="M36" s="5"/>
      <c r="N36" s="5"/>
      <c r="O36" s="5"/>
      <c r="P36" s="5"/>
    </row>
    <row r="37" spans="1:16" x14ac:dyDescent="0.2">
      <c r="A37" s="19" t="s">
        <v>9</v>
      </c>
      <c r="B37" s="19"/>
      <c r="C37" s="19"/>
      <c r="D37" s="19"/>
      <c r="E37" s="19"/>
      <c r="F37" s="19"/>
      <c r="G37" s="5"/>
      <c r="H37" s="5"/>
      <c r="I37" s="5"/>
      <c r="J37" s="5"/>
      <c r="K37" s="5"/>
      <c r="L37" s="5"/>
      <c r="M37" s="5"/>
      <c r="N37" s="68"/>
      <c r="O37" s="68"/>
      <c r="P37" s="26"/>
    </row>
    <row r="38" spans="1:16" ht="11.65" customHeight="1" x14ac:dyDescent="0.2">
      <c r="A38" s="202" t="s">
        <v>10</v>
      </c>
      <c r="B38" s="202"/>
      <c r="C38" s="202"/>
      <c r="D38" s="202"/>
      <c r="E38" s="202"/>
      <c r="F38" s="202"/>
      <c r="G38" s="5"/>
      <c r="H38" s="5"/>
      <c r="I38" s="5"/>
      <c r="J38" s="5"/>
      <c r="K38" s="5"/>
      <c r="L38" s="5"/>
      <c r="M38" s="5"/>
      <c r="N38" s="5"/>
      <c r="O38" s="5"/>
      <c r="P38" s="5"/>
    </row>
    <row r="39" spans="1:16" x14ac:dyDescent="0.2">
      <c r="A39" s="20"/>
      <c r="B39" s="69"/>
      <c r="C39" s="69"/>
      <c r="D39" s="69"/>
      <c r="E39" s="69"/>
      <c r="F39" s="69"/>
      <c r="G39" s="5"/>
      <c r="H39" s="5"/>
      <c r="I39" s="5"/>
      <c r="J39" s="5"/>
      <c r="K39" s="5"/>
      <c r="L39" s="5"/>
      <c r="M39" s="5"/>
      <c r="N39" s="5"/>
      <c r="O39" s="5"/>
      <c r="P39" s="5"/>
    </row>
    <row r="40" spans="1:16" x14ac:dyDescent="0.2">
      <c r="A40" s="4" t="str">
        <f>Koptāme!$A$28</f>
        <v xml:space="preserve">Tāme sastādīta: </v>
      </c>
      <c r="B40" s="4"/>
      <c r="C40" s="5"/>
      <c r="D40" s="5"/>
      <c r="E40" s="67"/>
      <c r="F40" s="5"/>
      <c r="G40" s="5"/>
      <c r="H40" s="5"/>
      <c r="I40" s="5"/>
      <c r="J40" s="5"/>
      <c r="K40" s="5"/>
      <c r="L40" s="5"/>
      <c r="M40" s="5"/>
      <c r="N40" s="5"/>
      <c r="O40" s="5"/>
      <c r="P40" s="5"/>
    </row>
    <row r="41" spans="1:16" x14ac:dyDescent="0.2">
      <c r="A41" s="4"/>
      <c r="B41" s="4"/>
      <c r="C41" s="5"/>
      <c r="D41" s="5"/>
      <c r="E41" s="67"/>
      <c r="F41" s="5"/>
      <c r="G41" s="5"/>
      <c r="H41" s="5"/>
      <c r="I41" s="5"/>
      <c r="J41" s="5"/>
      <c r="K41" s="5"/>
      <c r="L41" s="5"/>
      <c r="M41" s="5"/>
      <c r="N41" s="5"/>
      <c r="O41" s="5"/>
      <c r="P41" s="5"/>
    </row>
    <row r="42" spans="1:16" x14ac:dyDescent="0.2">
      <c r="A42" s="19" t="s">
        <v>87</v>
      </c>
      <c r="B42" s="19"/>
      <c r="C42" s="19"/>
      <c r="D42" s="19"/>
      <c r="E42" s="19"/>
      <c r="F42" s="19"/>
      <c r="G42" s="68"/>
      <c r="H42" s="68"/>
      <c r="I42" s="68"/>
      <c r="J42" s="26"/>
      <c r="K42" s="5"/>
      <c r="L42" s="5"/>
      <c r="M42" s="5"/>
      <c r="N42" s="5"/>
      <c r="O42" s="5"/>
      <c r="P42" s="5"/>
    </row>
    <row r="43" spans="1:16" ht="11.65" customHeight="1" x14ac:dyDescent="0.2">
      <c r="A43" s="202" t="s">
        <v>10</v>
      </c>
      <c r="B43" s="202"/>
      <c r="C43" s="202"/>
      <c r="D43" s="202"/>
      <c r="E43" s="202"/>
      <c r="F43" s="202"/>
      <c r="G43" s="5"/>
      <c r="H43" s="5"/>
      <c r="I43" s="5"/>
      <c r="J43" s="5"/>
      <c r="K43" s="5"/>
      <c r="L43" s="5"/>
      <c r="M43" s="5"/>
      <c r="N43" s="5"/>
      <c r="O43" s="5"/>
      <c r="P43" s="5"/>
    </row>
    <row r="44" spans="1:16" x14ac:dyDescent="0.2">
      <c r="A44" s="4"/>
      <c r="B44" s="4"/>
      <c r="C44" s="5"/>
      <c r="D44" s="5"/>
      <c r="E44" s="67"/>
      <c r="F44" s="5"/>
      <c r="G44" s="5"/>
      <c r="H44" s="5"/>
      <c r="I44" s="5"/>
      <c r="J44" s="5"/>
      <c r="K44" s="5"/>
      <c r="L44" s="5"/>
      <c r="M44" s="5"/>
      <c r="N44" s="5"/>
      <c r="O44" s="5"/>
      <c r="P44" s="5"/>
    </row>
    <row r="45" spans="1:16" x14ac:dyDescent="0.2">
      <c r="A45" s="20" t="s">
        <v>11</v>
      </c>
      <c r="B45" s="20"/>
      <c r="C45" s="4"/>
      <c r="D45" s="5"/>
      <c r="E45" s="67"/>
      <c r="F45" s="5"/>
      <c r="G45" s="5"/>
      <c r="H45" s="5"/>
      <c r="I45" s="5"/>
      <c r="J45" s="5"/>
      <c r="K45" s="5"/>
      <c r="L45" s="5"/>
      <c r="M45" s="5"/>
      <c r="N45" s="5"/>
      <c r="O45" s="5"/>
      <c r="P45" s="5"/>
    </row>
    <row r="46" spans="1:16" x14ac:dyDescent="0.2">
      <c r="A46" s="5"/>
      <c r="B46" s="5"/>
      <c r="C46" s="5"/>
      <c r="D46" s="5"/>
      <c r="E46" s="67"/>
      <c r="F46" s="5"/>
      <c r="G46" s="5"/>
      <c r="H46" s="5"/>
      <c r="I46" s="5"/>
      <c r="J46" s="5"/>
      <c r="K46" s="5"/>
      <c r="L46" s="5"/>
      <c r="M46" s="5"/>
      <c r="N46" s="5"/>
      <c r="O46" s="5"/>
      <c r="P46" s="5"/>
    </row>
    <row r="47" spans="1:16" x14ac:dyDescent="0.2">
      <c r="A47" s="5"/>
      <c r="B47" s="5"/>
      <c r="C47" s="5"/>
      <c r="D47" s="5"/>
      <c r="E47" s="67"/>
      <c r="F47" s="5"/>
      <c r="G47" s="5"/>
      <c r="H47" s="5"/>
      <c r="I47" s="5"/>
      <c r="J47" s="5"/>
      <c r="K47" s="5"/>
      <c r="L47" s="5"/>
      <c r="M47" s="5"/>
      <c r="N47" s="5"/>
      <c r="O47" s="5"/>
      <c r="P47" s="5"/>
    </row>
    <row r="48" spans="1:16" x14ac:dyDescent="0.2">
      <c r="A48" s="213" t="s">
        <v>12</v>
      </c>
      <c r="B48" s="213"/>
      <c r="C48" s="213"/>
      <c r="D48" s="213"/>
      <c r="E48" s="213"/>
      <c r="F48" s="213"/>
      <c r="G48" s="213"/>
      <c r="H48" s="213"/>
      <c r="I48" s="213"/>
      <c r="J48" s="213"/>
      <c r="K48" s="213"/>
      <c r="L48" s="213"/>
      <c r="M48" s="213"/>
      <c r="N48" s="213"/>
      <c r="O48" s="213"/>
      <c r="P48" s="213"/>
    </row>
  </sheetData>
  <sheetProtection selectLockedCells="1" selectUnlockedCells="1"/>
  <mergeCells count="17">
    <mergeCell ref="A7:F7"/>
    <mergeCell ref="A1:P1"/>
    <mergeCell ref="A2:P2"/>
    <mergeCell ref="A3:P3"/>
    <mergeCell ref="A5:F5"/>
    <mergeCell ref="A6:F6"/>
    <mergeCell ref="L11:P11"/>
    <mergeCell ref="B34:K34"/>
    <mergeCell ref="A38:F38"/>
    <mergeCell ref="A43:F43"/>
    <mergeCell ref="A48:P48"/>
    <mergeCell ref="A11:A12"/>
    <mergeCell ref="B11:B12"/>
    <mergeCell ref="C11:C12"/>
    <mergeCell ref="D11:D12"/>
    <mergeCell ref="E11:E12"/>
    <mergeCell ref="F11:K11"/>
  </mergeCells>
  <printOptions horizontalCentered="1"/>
  <pageMargins left="0.78749999999999998" right="0.39374999999999999" top="1.1812499999999999" bottom="0.39374999999999999" header="0.51180555555555551" footer="0.51180555555555551"/>
  <pageSetup paperSize="9" scale="74"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61091-340E-43DA-9888-651F8ECB765D}">
  <dimension ref="A1:P42"/>
  <sheetViews>
    <sheetView showZeros="0" topLeftCell="A6" zoomScale="90" zoomScaleNormal="90" zoomScaleSheetLayoutView="100" workbookViewId="0">
      <selection activeCell="A7" sqref="A7:F7"/>
    </sheetView>
  </sheetViews>
  <sheetFormatPr defaultColWidth="8.85546875" defaultRowHeight="12" x14ac:dyDescent="0.2"/>
  <cols>
    <col min="1" max="1" width="5.85546875" style="1" customWidth="1"/>
    <col min="2" max="2" width="5.85546875" style="45" customWidth="1"/>
    <col min="3" max="3" width="41" style="45" customWidth="1"/>
    <col min="4" max="4" width="8.85546875" style="1"/>
    <col min="5" max="5" width="8.85546875" style="46"/>
    <col min="6" max="11" width="8.85546875" style="1"/>
    <col min="12" max="16" width="11.85546875" style="1" customWidth="1"/>
    <col min="17" max="16384" width="8.85546875" style="1"/>
  </cols>
  <sheetData>
    <row r="1" spans="1:16" x14ac:dyDescent="0.2">
      <c r="A1" s="199" t="s">
        <v>88</v>
      </c>
      <c r="B1" s="199"/>
      <c r="C1" s="199"/>
      <c r="D1" s="199"/>
      <c r="E1" s="199"/>
      <c r="F1" s="199"/>
      <c r="G1" s="199"/>
      <c r="H1" s="199"/>
      <c r="I1" s="199"/>
      <c r="J1" s="199"/>
      <c r="K1" s="199"/>
      <c r="L1" s="199"/>
      <c r="M1" s="199"/>
      <c r="N1" s="199"/>
      <c r="O1" s="199"/>
      <c r="P1" s="199"/>
    </row>
    <row r="2" spans="1:16" x14ac:dyDescent="0.2">
      <c r="A2" s="199" t="s">
        <v>28</v>
      </c>
      <c r="B2" s="199"/>
      <c r="C2" s="199"/>
      <c r="D2" s="199"/>
      <c r="E2" s="199"/>
      <c r="F2" s="199"/>
      <c r="G2" s="199"/>
      <c r="H2" s="199"/>
      <c r="I2" s="199"/>
      <c r="J2" s="199"/>
      <c r="K2" s="199"/>
      <c r="L2" s="199"/>
      <c r="M2" s="199"/>
      <c r="N2" s="199"/>
      <c r="O2" s="199"/>
      <c r="P2" s="199"/>
    </row>
    <row r="3" spans="1:16" x14ac:dyDescent="0.2">
      <c r="A3" s="213" t="s">
        <v>46</v>
      </c>
      <c r="B3" s="213"/>
      <c r="C3" s="213"/>
      <c r="D3" s="213"/>
      <c r="E3" s="213"/>
      <c r="F3" s="213"/>
      <c r="G3" s="213"/>
      <c r="H3" s="213"/>
      <c r="I3" s="213"/>
      <c r="J3" s="213"/>
      <c r="K3" s="213"/>
      <c r="L3" s="213"/>
      <c r="M3" s="213"/>
      <c r="N3" s="213"/>
      <c r="O3" s="213"/>
      <c r="P3" s="213"/>
    </row>
    <row r="4" spans="1:16" x14ac:dyDescent="0.2">
      <c r="A4" s="70"/>
      <c r="B4" s="48"/>
      <c r="C4" s="48"/>
      <c r="D4" s="49"/>
      <c r="E4" s="50"/>
      <c r="F4" s="7"/>
      <c r="G4" s="7"/>
      <c r="H4" s="2"/>
      <c r="I4" s="7"/>
      <c r="J4" s="7"/>
      <c r="K4" s="7"/>
      <c r="L4" s="7"/>
      <c r="M4" s="7"/>
      <c r="N4" s="7"/>
      <c r="O4" s="7"/>
    </row>
    <row r="5" spans="1:16" ht="22.5" customHeight="1" x14ac:dyDescent="0.2">
      <c r="A5" s="210" t="str">
        <f>Koptāme!$A$11</f>
        <v>Objekta nosaukums: Slaucamo govju kūts jaunbūve īpašumā
"Vecsašava"</v>
      </c>
      <c r="B5" s="210"/>
      <c r="C5" s="210"/>
      <c r="D5" s="210"/>
      <c r="E5" s="210"/>
      <c r="F5" s="210"/>
      <c r="G5" s="51"/>
      <c r="H5" s="51"/>
      <c r="I5" s="51"/>
      <c r="J5" s="51"/>
      <c r="K5" s="51"/>
      <c r="L5" s="51"/>
      <c r="M5" s="51"/>
      <c r="N5" s="51"/>
      <c r="O5" s="51"/>
    </row>
    <row r="6" spans="1:16" ht="22.5" customHeight="1" x14ac:dyDescent="0.2">
      <c r="A6" s="210" t="str">
        <f>Koptāme!$A$12</f>
        <v>Objekta adrese: Īpašums "Vecsašava", Mālupes pagasts,
Alūksnes novads</v>
      </c>
      <c r="B6" s="210"/>
      <c r="C6" s="210"/>
      <c r="D6" s="210"/>
      <c r="E6" s="210"/>
      <c r="F6" s="210"/>
      <c r="G6" s="7"/>
      <c r="H6" s="2"/>
      <c r="I6" s="7"/>
      <c r="J6" s="7"/>
      <c r="K6" s="7"/>
      <c r="L6" s="7"/>
      <c r="M6" s="7"/>
      <c r="N6" s="7"/>
      <c r="O6" s="7"/>
    </row>
    <row r="7" spans="1:16" ht="14.1" customHeight="1" x14ac:dyDescent="0.2">
      <c r="A7" s="210" t="str">
        <f>Koptāme!$A$13</f>
        <v>Pasūtītājs: Z/S "Jaunceriņi"</v>
      </c>
      <c r="B7" s="210"/>
      <c r="C7" s="210"/>
      <c r="D7" s="210"/>
      <c r="E7" s="210"/>
      <c r="F7" s="210"/>
      <c r="G7" s="7"/>
      <c r="H7" s="2"/>
      <c r="I7" s="7"/>
      <c r="J7" s="7"/>
      <c r="K7" s="7"/>
      <c r="L7" s="7"/>
      <c r="M7" s="7"/>
      <c r="N7" s="7"/>
      <c r="O7" s="7"/>
    </row>
    <row r="8" spans="1:16" x14ac:dyDescent="0.2">
      <c r="A8" s="49"/>
      <c r="B8" s="47"/>
      <c r="C8" s="49"/>
      <c r="D8" s="52"/>
      <c r="E8" s="53"/>
      <c r="F8" s="52"/>
      <c r="G8" s="52"/>
      <c r="H8" s="52"/>
      <c r="I8" s="52"/>
      <c r="J8" s="52"/>
      <c r="K8" s="52"/>
      <c r="L8" s="52"/>
      <c r="M8" s="52"/>
      <c r="N8" s="52"/>
      <c r="O8" s="54" t="s">
        <v>47</v>
      </c>
      <c r="P8" s="55">
        <f>P28</f>
        <v>0</v>
      </c>
    </row>
    <row r="9" spans="1:16" x14ac:dyDescent="0.2">
      <c r="A9" s="49"/>
      <c r="B9" s="47"/>
      <c r="C9" s="49"/>
      <c r="D9" s="52"/>
      <c r="E9" s="53"/>
      <c r="F9" s="52"/>
      <c r="G9" s="52"/>
      <c r="H9" s="52"/>
      <c r="I9" s="52"/>
      <c r="J9" s="52"/>
      <c r="K9" s="52"/>
      <c r="L9" s="52"/>
      <c r="M9" s="52"/>
      <c r="N9" s="56" t="str">
        <f>Koptāme!$A$28</f>
        <v xml:space="preserve">Tāme sastādīta: </v>
      </c>
      <c r="O9" s="57"/>
      <c r="P9" s="52"/>
    </row>
    <row r="11" spans="1:16" ht="12.75" customHeight="1" x14ac:dyDescent="0.2">
      <c r="A11" s="214" t="s">
        <v>48</v>
      </c>
      <c r="B11" s="215" t="s">
        <v>49</v>
      </c>
      <c r="C11" s="214" t="s">
        <v>50</v>
      </c>
      <c r="D11" s="214" t="s">
        <v>51</v>
      </c>
      <c r="E11" s="216" t="s">
        <v>52</v>
      </c>
      <c r="F11" s="211" t="s">
        <v>53</v>
      </c>
      <c r="G11" s="211"/>
      <c r="H11" s="211"/>
      <c r="I11" s="211"/>
      <c r="J11" s="211"/>
      <c r="K11" s="211"/>
      <c r="L11" s="211" t="s">
        <v>54</v>
      </c>
      <c r="M11" s="211"/>
      <c r="N11" s="211"/>
      <c r="O11" s="211"/>
      <c r="P11" s="211"/>
    </row>
    <row r="12" spans="1:16" ht="48" x14ac:dyDescent="0.2">
      <c r="A12" s="214"/>
      <c r="B12" s="215"/>
      <c r="C12" s="214"/>
      <c r="D12" s="214"/>
      <c r="E12" s="216"/>
      <c r="F12" s="194" t="s">
        <v>55</v>
      </c>
      <c r="G12" s="194" t="s">
        <v>89</v>
      </c>
      <c r="H12" s="194" t="s">
        <v>57</v>
      </c>
      <c r="I12" s="194" t="s">
        <v>23</v>
      </c>
      <c r="J12" s="194" t="s">
        <v>58</v>
      </c>
      <c r="K12" s="194" t="s">
        <v>59</v>
      </c>
      <c r="L12" s="194" t="s">
        <v>60</v>
      </c>
      <c r="M12" s="194" t="s">
        <v>57</v>
      </c>
      <c r="N12" s="194" t="s">
        <v>23</v>
      </c>
      <c r="O12" s="194" t="s">
        <v>58</v>
      </c>
      <c r="P12" s="194" t="s">
        <v>61</v>
      </c>
    </row>
    <row r="13" spans="1:16" x14ac:dyDescent="0.2">
      <c r="A13" s="194">
        <v>1</v>
      </c>
      <c r="B13" s="194">
        <v>2</v>
      </c>
      <c r="C13" s="194">
        <v>3</v>
      </c>
      <c r="D13" s="194">
        <v>4</v>
      </c>
      <c r="E13" s="196">
        <v>5</v>
      </c>
      <c r="F13" s="194">
        <v>6</v>
      </c>
      <c r="G13" s="194">
        <v>7</v>
      </c>
      <c r="H13" s="194">
        <v>8</v>
      </c>
      <c r="I13" s="194">
        <v>9</v>
      </c>
      <c r="J13" s="194">
        <v>10</v>
      </c>
      <c r="K13" s="194">
        <v>11</v>
      </c>
      <c r="L13" s="194">
        <v>12</v>
      </c>
      <c r="M13" s="194">
        <v>13</v>
      </c>
      <c r="N13" s="194">
        <v>14</v>
      </c>
      <c r="O13" s="194">
        <v>15</v>
      </c>
      <c r="P13" s="194">
        <v>16</v>
      </c>
    </row>
    <row r="14" spans="1:16" x14ac:dyDescent="0.2">
      <c r="A14" s="71"/>
      <c r="B14" s="59"/>
      <c r="C14" s="72" t="s">
        <v>90</v>
      </c>
      <c r="D14" s="73"/>
      <c r="E14" s="74"/>
      <c r="F14" s="71"/>
      <c r="G14" s="71"/>
      <c r="H14" s="71"/>
      <c r="I14" s="71"/>
      <c r="J14" s="71"/>
      <c r="K14" s="71"/>
      <c r="L14" s="71"/>
      <c r="M14" s="71"/>
      <c r="N14" s="71"/>
      <c r="O14" s="71"/>
      <c r="P14" s="71"/>
    </row>
    <row r="15" spans="1:16" ht="24" x14ac:dyDescent="0.2">
      <c r="A15" s="59">
        <v>1</v>
      </c>
      <c r="B15" s="59" t="s">
        <v>91</v>
      </c>
      <c r="C15" s="14" t="s">
        <v>92</v>
      </c>
      <c r="D15" s="13" t="s">
        <v>93</v>
      </c>
      <c r="E15" s="63">
        <v>408.06</v>
      </c>
      <c r="F15" s="64"/>
      <c r="G15" s="64"/>
      <c r="H15" s="64"/>
      <c r="I15" s="64"/>
      <c r="J15" s="64"/>
      <c r="K15" s="64"/>
      <c r="L15" s="64"/>
      <c r="M15" s="64"/>
      <c r="N15" s="64"/>
      <c r="O15" s="64"/>
      <c r="P15" s="64"/>
    </row>
    <row r="16" spans="1:16" ht="36" x14ac:dyDescent="0.2">
      <c r="A16" s="59">
        <f t="shared" ref="A16:A18" si="0">A15+1</f>
        <v>2</v>
      </c>
      <c r="B16" s="59" t="s">
        <v>91</v>
      </c>
      <c r="C16" s="14" t="s">
        <v>94</v>
      </c>
      <c r="D16" s="13" t="s">
        <v>93</v>
      </c>
      <c r="E16" s="63">
        <v>310.95999999999998</v>
      </c>
      <c r="F16" s="64"/>
      <c r="G16" s="64"/>
      <c r="H16" s="64"/>
      <c r="I16" s="64"/>
      <c r="J16" s="64"/>
      <c r="K16" s="64"/>
      <c r="L16" s="64"/>
      <c r="M16" s="64"/>
      <c r="N16" s="64"/>
      <c r="O16" s="64"/>
      <c r="P16" s="64"/>
    </row>
    <row r="17" spans="1:16" ht="24" x14ac:dyDescent="0.2">
      <c r="A17" s="59">
        <f t="shared" si="0"/>
        <v>3</v>
      </c>
      <c r="B17" s="59" t="s">
        <v>91</v>
      </c>
      <c r="C17" s="14" t="s">
        <v>95</v>
      </c>
      <c r="D17" s="13" t="s">
        <v>93</v>
      </c>
      <c r="E17" s="63">
        <v>225.5</v>
      </c>
      <c r="F17" s="64"/>
      <c r="G17" s="64"/>
      <c r="H17" s="64"/>
      <c r="I17" s="64"/>
      <c r="J17" s="64"/>
      <c r="K17" s="64"/>
      <c r="L17" s="64"/>
      <c r="M17" s="64"/>
      <c r="N17" s="64"/>
      <c r="O17" s="64"/>
      <c r="P17" s="64"/>
    </row>
    <row r="18" spans="1:16" x14ac:dyDescent="0.2">
      <c r="A18" s="59">
        <f t="shared" si="0"/>
        <v>4</v>
      </c>
      <c r="B18" s="59" t="s">
        <v>91</v>
      </c>
      <c r="C18" s="14" t="s">
        <v>96</v>
      </c>
      <c r="D18" s="13" t="s">
        <v>97</v>
      </c>
      <c r="E18" s="63">
        <v>1</v>
      </c>
      <c r="F18" s="64"/>
      <c r="G18" s="64"/>
      <c r="H18" s="64"/>
      <c r="I18" s="64"/>
      <c r="J18" s="64"/>
      <c r="K18" s="64"/>
      <c r="L18" s="64"/>
      <c r="M18" s="64"/>
      <c r="N18" s="64"/>
      <c r="O18" s="64"/>
      <c r="P18" s="64"/>
    </row>
    <row r="19" spans="1:16" x14ac:dyDescent="0.2">
      <c r="A19" s="59"/>
      <c r="B19" s="59"/>
      <c r="C19" s="14"/>
      <c r="D19" s="13"/>
      <c r="E19" s="63"/>
      <c r="F19" s="64"/>
      <c r="G19" s="64"/>
      <c r="H19" s="64"/>
      <c r="I19" s="64"/>
      <c r="J19" s="64"/>
      <c r="K19" s="64"/>
      <c r="L19" s="64"/>
      <c r="M19" s="64"/>
      <c r="N19" s="64"/>
      <c r="O19" s="64"/>
      <c r="P19" s="64"/>
    </row>
    <row r="20" spans="1:16" x14ac:dyDescent="0.2">
      <c r="A20" s="59"/>
      <c r="B20" s="195"/>
      <c r="C20" s="75" t="s">
        <v>98</v>
      </c>
      <c r="D20" s="76"/>
      <c r="E20" s="77"/>
      <c r="F20" s="64"/>
      <c r="G20" s="64"/>
      <c r="H20" s="64"/>
      <c r="I20" s="64"/>
      <c r="J20" s="64"/>
      <c r="K20" s="64"/>
      <c r="L20" s="64"/>
      <c r="M20" s="64"/>
      <c r="N20" s="64"/>
      <c r="O20" s="64"/>
      <c r="P20" s="64"/>
    </row>
    <row r="21" spans="1:16" ht="24" x14ac:dyDescent="0.2">
      <c r="A21" s="59">
        <f>A18+1</f>
        <v>5</v>
      </c>
      <c r="B21" s="195" t="s">
        <v>63</v>
      </c>
      <c r="C21" s="14" t="s">
        <v>99</v>
      </c>
      <c r="D21" s="13" t="s">
        <v>93</v>
      </c>
      <c r="E21" s="63">
        <v>848.33</v>
      </c>
      <c r="F21" s="64"/>
      <c r="G21" s="64"/>
      <c r="H21" s="64"/>
      <c r="I21" s="64"/>
      <c r="J21" s="64"/>
      <c r="K21" s="64"/>
      <c r="L21" s="64"/>
      <c r="M21" s="64"/>
      <c r="N21" s="64"/>
      <c r="O21" s="64"/>
      <c r="P21" s="64"/>
    </row>
    <row r="22" spans="1:16" ht="24" x14ac:dyDescent="0.2">
      <c r="A22" s="59">
        <f>A21+1</f>
        <v>6</v>
      </c>
      <c r="B22" s="195" t="s">
        <v>63</v>
      </c>
      <c r="C22" s="14" t="s">
        <v>100</v>
      </c>
      <c r="D22" s="13" t="s">
        <v>101</v>
      </c>
      <c r="E22" s="63">
        <v>206</v>
      </c>
      <c r="F22" s="64"/>
      <c r="G22" s="64"/>
      <c r="H22" s="64"/>
      <c r="I22" s="64"/>
      <c r="J22" s="64"/>
      <c r="K22" s="64"/>
      <c r="L22" s="64"/>
      <c r="M22" s="64"/>
      <c r="N22" s="64"/>
      <c r="O22" s="64"/>
      <c r="P22" s="64"/>
    </row>
    <row r="23" spans="1:16" x14ac:dyDescent="0.2">
      <c r="A23" s="59"/>
      <c r="B23" s="59"/>
      <c r="C23" s="14"/>
      <c r="D23" s="13"/>
      <c r="E23" s="63"/>
      <c r="F23" s="64"/>
      <c r="G23" s="64"/>
      <c r="H23" s="64"/>
      <c r="I23" s="64"/>
      <c r="J23" s="64"/>
      <c r="K23" s="64"/>
      <c r="L23" s="64"/>
      <c r="M23" s="64"/>
      <c r="N23" s="64"/>
      <c r="O23" s="64"/>
      <c r="P23" s="64"/>
    </row>
    <row r="24" spans="1:16" x14ac:dyDescent="0.2">
      <c r="A24" s="71"/>
      <c r="B24" s="59"/>
      <c r="C24" s="72" t="s">
        <v>102</v>
      </c>
      <c r="D24" s="73"/>
      <c r="E24" s="74"/>
      <c r="F24" s="71"/>
      <c r="G24" s="71"/>
      <c r="H24" s="64"/>
      <c r="I24" s="64"/>
      <c r="J24" s="64"/>
      <c r="K24" s="64"/>
      <c r="L24" s="64"/>
      <c r="M24" s="64"/>
      <c r="N24" s="64"/>
      <c r="O24" s="64"/>
      <c r="P24" s="64"/>
    </row>
    <row r="25" spans="1:16" ht="24" x14ac:dyDescent="0.2">
      <c r="A25" s="59">
        <f>A23+1</f>
        <v>1</v>
      </c>
      <c r="B25" s="59" t="s">
        <v>91</v>
      </c>
      <c r="C25" s="14" t="s">
        <v>92</v>
      </c>
      <c r="D25" s="13" t="s">
        <v>93</v>
      </c>
      <c r="E25" s="63">
        <v>129.6</v>
      </c>
      <c r="F25" s="64"/>
      <c r="G25" s="64"/>
      <c r="H25" s="64"/>
      <c r="I25" s="64"/>
      <c r="J25" s="64"/>
      <c r="K25" s="64"/>
      <c r="L25" s="64"/>
      <c r="M25" s="64"/>
      <c r="N25" s="64"/>
      <c r="O25" s="64"/>
      <c r="P25" s="64"/>
    </row>
    <row r="26" spans="1:16" ht="24" x14ac:dyDescent="0.2">
      <c r="A26" s="59">
        <f>A25+1</f>
        <v>2</v>
      </c>
      <c r="B26" s="59" t="s">
        <v>91</v>
      </c>
      <c r="C26" s="14" t="s">
        <v>103</v>
      </c>
      <c r="D26" s="13" t="s">
        <v>93</v>
      </c>
      <c r="E26" s="63">
        <v>546</v>
      </c>
      <c r="F26" s="64"/>
      <c r="G26" s="64"/>
      <c r="H26" s="64"/>
      <c r="I26" s="64"/>
      <c r="J26" s="64"/>
      <c r="K26" s="64"/>
      <c r="L26" s="64"/>
      <c r="M26" s="64"/>
      <c r="N26" s="64"/>
      <c r="O26" s="64"/>
      <c r="P26" s="64"/>
    </row>
    <row r="27" spans="1:16" x14ac:dyDescent="0.2">
      <c r="A27" s="59"/>
      <c r="B27" s="59"/>
      <c r="C27" s="14"/>
      <c r="D27" s="13"/>
      <c r="E27" s="63"/>
      <c r="F27" s="65"/>
      <c r="G27" s="65"/>
      <c r="H27" s="65"/>
      <c r="I27" s="65"/>
      <c r="J27" s="65"/>
      <c r="K27" s="65"/>
      <c r="L27" s="65"/>
      <c r="M27" s="65"/>
      <c r="N27" s="65"/>
      <c r="O27" s="65"/>
      <c r="P27" s="65"/>
    </row>
    <row r="28" spans="1:16" x14ac:dyDescent="0.2">
      <c r="A28" s="71"/>
      <c r="B28" s="212" t="s">
        <v>86</v>
      </c>
      <c r="C28" s="212"/>
      <c r="D28" s="212"/>
      <c r="E28" s="212"/>
      <c r="F28" s="212"/>
      <c r="G28" s="212"/>
      <c r="H28" s="212"/>
      <c r="I28" s="212"/>
      <c r="J28" s="212"/>
      <c r="K28" s="212"/>
      <c r="L28" s="66">
        <f>SUM(L15:L27)</f>
        <v>0</v>
      </c>
      <c r="M28" s="66">
        <f>SUM(M15:M27)</f>
        <v>0</v>
      </c>
      <c r="N28" s="66">
        <f>SUM(N15:N27)</f>
        <v>0</v>
      </c>
      <c r="O28" s="66">
        <f>SUM(O15:O27)</f>
        <v>0</v>
      </c>
      <c r="P28" s="66">
        <f>SUM(P15:P27)</f>
        <v>0</v>
      </c>
    </row>
    <row r="29" spans="1:16" x14ac:dyDescent="0.2">
      <c r="A29" s="5"/>
      <c r="B29" s="5"/>
      <c r="C29" s="9"/>
      <c r="D29" s="5"/>
      <c r="E29" s="67"/>
      <c r="F29" s="5"/>
      <c r="G29" s="5"/>
      <c r="H29" s="5"/>
      <c r="I29" s="5"/>
      <c r="J29" s="5"/>
      <c r="K29" s="5"/>
      <c r="L29" s="5"/>
      <c r="M29" s="5"/>
      <c r="N29" s="5"/>
      <c r="O29" s="5"/>
      <c r="P29" s="5"/>
    </row>
    <row r="30" spans="1:16" x14ac:dyDescent="0.2">
      <c r="A30" s="5"/>
      <c r="B30" s="5"/>
      <c r="C30" s="9"/>
      <c r="D30" s="5"/>
      <c r="E30" s="67"/>
      <c r="F30" s="5"/>
      <c r="G30" s="5"/>
      <c r="H30" s="5"/>
      <c r="I30" s="5"/>
      <c r="J30" s="5"/>
      <c r="K30" s="5"/>
      <c r="L30" s="5"/>
      <c r="M30" s="5"/>
      <c r="N30" s="5"/>
      <c r="O30" s="5"/>
      <c r="P30" s="5"/>
    </row>
    <row r="31" spans="1:16" x14ac:dyDescent="0.2">
      <c r="A31" s="20" t="s">
        <v>9</v>
      </c>
      <c r="B31" s="19"/>
      <c r="C31" s="19"/>
      <c r="D31" s="19"/>
      <c r="E31" s="19"/>
      <c r="F31" s="19"/>
      <c r="G31" s="20"/>
      <c r="H31" s="19"/>
      <c r="I31" s="19"/>
      <c r="J31" s="19"/>
      <c r="K31" s="19"/>
      <c r="L31" s="19"/>
      <c r="M31" s="68"/>
      <c r="N31" s="68"/>
      <c r="O31" s="68"/>
      <c r="P31" s="26"/>
    </row>
    <row r="32" spans="1:16" ht="11.45" customHeight="1" x14ac:dyDescent="0.2">
      <c r="A32" s="20"/>
      <c r="B32" s="202" t="s">
        <v>10</v>
      </c>
      <c r="C32" s="202"/>
      <c r="D32" s="202"/>
      <c r="E32" s="202"/>
      <c r="F32" s="202"/>
      <c r="G32" s="20"/>
      <c r="H32" s="217"/>
      <c r="I32" s="217"/>
      <c r="J32" s="217"/>
      <c r="K32" s="217"/>
      <c r="L32" s="217"/>
      <c r="M32" s="5"/>
      <c r="N32" s="5"/>
      <c r="O32" s="5"/>
      <c r="P32" s="5"/>
    </row>
    <row r="33" spans="1:16" x14ac:dyDescent="0.2">
      <c r="A33" s="20"/>
      <c r="B33" s="69"/>
      <c r="C33" s="69"/>
      <c r="D33" s="69"/>
      <c r="E33" s="69"/>
      <c r="F33" s="69"/>
      <c r="G33" s="20"/>
      <c r="H33" s="69"/>
      <c r="I33" s="69"/>
      <c r="J33" s="69"/>
      <c r="K33" s="69"/>
      <c r="L33" s="69"/>
      <c r="M33" s="5"/>
      <c r="N33" s="5"/>
      <c r="O33" s="5"/>
      <c r="P33" s="5"/>
    </row>
    <row r="34" spans="1:16" x14ac:dyDescent="0.2">
      <c r="A34" s="5" t="str">
        <f>Koptāme!$A$28</f>
        <v xml:space="preserve">Tāme sastādīta: </v>
      </c>
      <c r="B34" s="4"/>
      <c r="C34" s="5"/>
      <c r="D34" s="5"/>
      <c r="E34" s="67"/>
      <c r="F34" s="5"/>
      <c r="G34" s="5"/>
      <c r="H34" s="5"/>
      <c r="I34" s="5"/>
      <c r="J34" s="5"/>
      <c r="K34" s="5"/>
      <c r="L34" s="5"/>
      <c r="M34" s="5"/>
      <c r="N34" s="5"/>
      <c r="O34" s="5"/>
      <c r="P34" s="5"/>
    </row>
    <row r="35" spans="1:16" x14ac:dyDescent="0.2">
      <c r="A35" s="4"/>
      <c r="B35" s="4"/>
      <c r="C35" s="5"/>
      <c r="D35" s="5"/>
      <c r="E35" s="67"/>
      <c r="F35" s="5"/>
      <c r="G35" s="5"/>
      <c r="H35" s="5"/>
      <c r="I35" s="5"/>
      <c r="J35" s="5"/>
      <c r="K35" s="5"/>
      <c r="L35" s="5"/>
      <c r="M35" s="5"/>
      <c r="N35" s="5"/>
      <c r="O35" s="5"/>
      <c r="P35" s="5"/>
    </row>
    <row r="36" spans="1:16" x14ac:dyDescent="0.2">
      <c r="A36" s="20" t="s">
        <v>87</v>
      </c>
      <c r="B36" s="19"/>
      <c r="C36" s="19"/>
      <c r="D36" s="19"/>
      <c r="E36" s="19"/>
      <c r="F36" s="19"/>
      <c r="G36" s="68"/>
      <c r="H36" s="68"/>
      <c r="I36" s="68"/>
      <c r="J36" s="26"/>
      <c r="K36" s="5"/>
      <c r="L36" s="5"/>
      <c r="M36" s="5"/>
      <c r="N36" s="5"/>
      <c r="O36" s="5"/>
      <c r="P36" s="5"/>
    </row>
    <row r="37" spans="1:16" ht="11.45" customHeight="1" x14ac:dyDescent="0.2">
      <c r="A37" s="20"/>
      <c r="B37" s="217" t="s">
        <v>10</v>
      </c>
      <c r="C37" s="217"/>
      <c r="D37" s="217"/>
      <c r="E37" s="217"/>
      <c r="F37" s="217"/>
      <c r="G37" s="5"/>
      <c r="H37" s="5"/>
      <c r="I37" s="5"/>
      <c r="J37" s="5"/>
      <c r="K37" s="5"/>
      <c r="L37" s="5"/>
      <c r="M37" s="5"/>
      <c r="N37" s="5"/>
      <c r="O37" s="5"/>
      <c r="P37" s="5"/>
    </row>
    <row r="38" spans="1:16" x14ac:dyDescent="0.2">
      <c r="A38" s="4"/>
      <c r="B38" s="4"/>
      <c r="C38" s="5"/>
      <c r="D38" s="5"/>
      <c r="E38" s="67"/>
      <c r="F38" s="5"/>
      <c r="G38" s="5"/>
      <c r="H38" s="5"/>
      <c r="I38" s="5"/>
      <c r="J38" s="5"/>
      <c r="K38" s="5"/>
      <c r="L38" s="5"/>
      <c r="M38" s="5"/>
      <c r="N38" s="5"/>
      <c r="O38" s="5"/>
      <c r="P38" s="5"/>
    </row>
    <row r="39" spans="1:16" x14ac:dyDescent="0.2">
      <c r="A39" s="20" t="s">
        <v>11</v>
      </c>
      <c r="B39" s="20"/>
      <c r="C39" s="4"/>
      <c r="D39" s="5"/>
      <c r="E39" s="67"/>
      <c r="F39" s="5"/>
      <c r="G39" s="5"/>
      <c r="H39" s="5"/>
      <c r="I39" s="5"/>
      <c r="J39" s="5"/>
      <c r="K39" s="5"/>
      <c r="L39" s="5"/>
      <c r="M39" s="5"/>
      <c r="N39" s="5"/>
      <c r="O39" s="5"/>
      <c r="P39" s="5"/>
    </row>
    <row r="40" spans="1:16" x14ac:dyDescent="0.2">
      <c r="A40" s="5"/>
      <c r="B40" s="5"/>
      <c r="C40" s="5"/>
      <c r="D40" s="5"/>
      <c r="E40" s="67"/>
      <c r="F40" s="5"/>
      <c r="G40" s="5"/>
      <c r="H40" s="5"/>
      <c r="I40" s="5"/>
      <c r="J40" s="5"/>
      <c r="K40" s="5"/>
      <c r="L40" s="5"/>
      <c r="M40" s="5"/>
      <c r="N40" s="5"/>
      <c r="O40" s="5"/>
      <c r="P40" s="5"/>
    </row>
    <row r="41" spans="1:16" x14ac:dyDescent="0.2">
      <c r="A41" s="5"/>
      <c r="B41" s="5"/>
      <c r="C41" s="5"/>
      <c r="D41" s="5"/>
      <c r="E41" s="67"/>
      <c r="F41" s="5"/>
      <c r="G41" s="5"/>
      <c r="H41" s="5"/>
      <c r="I41" s="5"/>
      <c r="J41" s="5"/>
      <c r="K41" s="5"/>
      <c r="L41" s="5"/>
      <c r="M41" s="5"/>
      <c r="N41" s="5"/>
      <c r="O41" s="5"/>
      <c r="P41" s="5"/>
    </row>
    <row r="42" spans="1:16" x14ac:dyDescent="0.2">
      <c r="A42" s="213" t="s">
        <v>12</v>
      </c>
      <c r="B42" s="213"/>
      <c r="C42" s="213"/>
      <c r="D42" s="213"/>
      <c r="E42" s="213"/>
      <c r="F42" s="213"/>
      <c r="G42" s="213"/>
      <c r="H42" s="213"/>
      <c r="I42" s="213"/>
      <c r="J42" s="213"/>
      <c r="K42" s="213"/>
      <c r="L42" s="213"/>
      <c r="M42" s="213"/>
      <c r="N42" s="213"/>
      <c r="O42" s="213"/>
      <c r="P42" s="213"/>
    </row>
  </sheetData>
  <sheetProtection selectLockedCells="1" selectUnlockedCells="1"/>
  <mergeCells count="18">
    <mergeCell ref="A7:F7"/>
    <mergeCell ref="A1:P1"/>
    <mergeCell ref="A2:P2"/>
    <mergeCell ref="A3:P3"/>
    <mergeCell ref="A5:F5"/>
    <mergeCell ref="A6:F6"/>
    <mergeCell ref="A42:P42"/>
    <mergeCell ref="A11:A12"/>
    <mergeCell ref="B11:B12"/>
    <mergeCell ref="C11:C12"/>
    <mergeCell ref="D11:D12"/>
    <mergeCell ref="E11:E12"/>
    <mergeCell ref="F11:K11"/>
    <mergeCell ref="L11:P11"/>
    <mergeCell ref="B28:K28"/>
    <mergeCell ref="B32:F32"/>
    <mergeCell ref="H32:L32"/>
    <mergeCell ref="B37:F37"/>
  </mergeCells>
  <printOptions horizontalCentered="1"/>
  <pageMargins left="0.78749999999999998" right="0.39374999999999999" top="1.1812499999999999" bottom="0.39374999999999999" header="0.51180555555555551" footer="0.51180555555555551"/>
  <pageSetup paperSize="9" scale="74"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5A0E-3628-471C-8BA5-1706CF0DF938}">
  <dimension ref="A1:R270"/>
  <sheetViews>
    <sheetView showZeros="0" topLeftCell="A239" zoomScaleSheetLayoutView="90" workbookViewId="0">
      <selection activeCell="E262" sqref="E262"/>
    </sheetView>
  </sheetViews>
  <sheetFormatPr defaultColWidth="9.28515625" defaultRowHeight="12" x14ac:dyDescent="0.2"/>
  <cols>
    <col min="1" max="2" width="5.85546875" style="45" customWidth="1"/>
    <col min="3" max="3" width="41" style="45" customWidth="1"/>
    <col min="4" max="4" width="8.85546875" style="1" customWidth="1"/>
    <col min="5" max="6" width="10.85546875" style="1" customWidth="1"/>
    <col min="7" max="12" width="8.85546875" style="1" customWidth="1"/>
    <col min="13" max="16" width="11.85546875" style="1" customWidth="1"/>
    <col min="17" max="17" width="9.28515625" style="1"/>
    <col min="18" max="21" width="0" style="1" hidden="1" customWidth="1"/>
    <col min="22" max="213" width="9.28515625" style="1"/>
    <col min="214" max="214" width="1.7109375" style="1" customWidth="1"/>
    <col min="215" max="215" width="3.85546875" style="1" customWidth="1"/>
    <col min="216" max="216" width="8.5703125" style="1" customWidth="1"/>
    <col min="217" max="217" width="29.42578125" style="1" customWidth="1"/>
    <col min="218" max="218" width="14.85546875" style="1" customWidth="1"/>
    <col min="219" max="219" width="8.28515625" style="1" customWidth="1"/>
    <col min="220" max="220" width="7.28515625" style="1" customWidth="1"/>
    <col min="221" max="221" width="7.85546875" style="1" customWidth="1"/>
    <col min="222" max="222" width="9.42578125" style="1" customWidth="1"/>
    <col min="223" max="223" width="10.85546875" style="1" customWidth="1"/>
    <col min="224" max="224" width="8.5703125" style="1" customWidth="1"/>
    <col min="225" max="225" width="10.28515625" style="1" customWidth="1"/>
    <col min="226" max="226" width="9.28515625" style="1"/>
    <col min="227" max="227" width="12.28515625" style="1" customWidth="1"/>
    <col min="228" max="228" width="10.28515625" style="1" customWidth="1"/>
    <col min="229" max="229" width="9.85546875" style="1" customWidth="1"/>
    <col min="230" max="230" width="10.85546875" style="1" customWidth="1"/>
    <col min="231" max="16384" width="9.28515625" style="1"/>
  </cols>
  <sheetData>
    <row r="1" spans="1:16" x14ac:dyDescent="0.2">
      <c r="A1" s="199" t="s">
        <v>104</v>
      </c>
      <c r="B1" s="199"/>
      <c r="C1" s="199"/>
      <c r="D1" s="199"/>
      <c r="E1" s="199"/>
      <c r="F1" s="199"/>
      <c r="G1" s="199"/>
      <c r="H1" s="199"/>
      <c r="I1" s="199"/>
      <c r="J1" s="199"/>
      <c r="K1" s="199"/>
      <c r="L1" s="199"/>
      <c r="M1" s="199"/>
      <c r="N1" s="199"/>
      <c r="O1" s="199"/>
      <c r="P1" s="199"/>
    </row>
    <row r="2" spans="1:16" x14ac:dyDescent="0.2">
      <c r="A2" s="218" t="s">
        <v>30</v>
      </c>
      <c r="B2" s="218"/>
      <c r="C2" s="218"/>
      <c r="D2" s="218"/>
      <c r="E2" s="218"/>
      <c r="F2" s="218"/>
      <c r="G2" s="218"/>
      <c r="H2" s="218"/>
      <c r="I2" s="218"/>
      <c r="J2" s="218"/>
      <c r="K2" s="218"/>
      <c r="L2" s="218"/>
      <c r="M2" s="218"/>
      <c r="N2" s="218"/>
      <c r="O2" s="218"/>
      <c r="P2" s="218"/>
    </row>
    <row r="3" spans="1:16" x14ac:dyDescent="0.2">
      <c r="A3" s="213" t="s">
        <v>46</v>
      </c>
      <c r="B3" s="213"/>
      <c r="C3" s="213"/>
      <c r="D3" s="213"/>
      <c r="E3" s="213"/>
      <c r="F3" s="213"/>
      <c r="G3" s="213"/>
      <c r="H3" s="213"/>
      <c r="I3" s="213"/>
      <c r="J3" s="213"/>
      <c r="K3" s="213"/>
      <c r="L3" s="213"/>
      <c r="M3" s="213"/>
      <c r="N3" s="213"/>
      <c r="O3" s="213"/>
      <c r="P3" s="213"/>
    </row>
    <row r="4" spans="1:16" x14ac:dyDescent="0.2">
      <c r="A4" s="47"/>
      <c r="B4" s="48"/>
      <c r="C4" s="48"/>
      <c r="D4" s="49"/>
      <c r="E4" s="7"/>
      <c r="F4" s="7"/>
      <c r="G4" s="7"/>
      <c r="H4" s="7"/>
      <c r="I4" s="2"/>
      <c r="J4" s="7"/>
      <c r="K4" s="7"/>
      <c r="L4" s="7"/>
      <c r="M4" s="7"/>
      <c r="N4" s="7"/>
      <c r="O4" s="7"/>
      <c r="P4" s="7"/>
    </row>
    <row r="5" spans="1:16" ht="23.65" customHeight="1" x14ac:dyDescent="0.2">
      <c r="A5" s="210" t="str">
        <f>Koptāme!$A$11</f>
        <v>Objekta nosaukums: Slaucamo govju kūts jaunbūve īpašumā
"Vecsašava"</v>
      </c>
      <c r="B5" s="210"/>
      <c r="C5" s="210"/>
      <c r="D5" s="210"/>
      <c r="E5" s="210"/>
      <c r="F5" s="210"/>
      <c r="G5" s="210"/>
      <c r="H5" s="51"/>
      <c r="I5" s="51"/>
      <c r="J5" s="51"/>
      <c r="K5" s="51"/>
      <c r="L5" s="51"/>
      <c r="M5" s="51"/>
      <c r="N5" s="51"/>
      <c r="O5" s="51"/>
      <c r="P5" s="51"/>
    </row>
    <row r="6" spans="1:16" ht="23.65" customHeight="1" x14ac:dyDescent="0.2">
      <c r="A6" s="210" t="str">
        <f>Koptāme!$A$12</f>
        <v>Objekta adrese: Īpašums "Vecsašava", Mālupes pagasts,
Alūksnes novads</v>
      </c>
      <c r="B6" s="210"/>
      <c r="C6" s="210"/>
      <c r="D6" s="210"/>
      <c r="E6" s="210"/>
      <c r="F6" s="210"/>
      <c r="G6" s="210"/>
      <c r="H6" s="7"/>
      <c r="I6" s="2"/>
      <c r="J6" s="7"/>
      <c r="K6" s="7"/>
      <c r="L6" s="7"/>
      <c r="M6" s="7"/>
      <c r="N6" s="7"/>
      <c r="O6" s="7"/>
      <c r="P6" s="7"/>
    </row>
    <row r="7" spans="1:16" ht="14.25" customHeight="1" x14ac:dyDescent="0.2">
      <c r="A7" s="210" t="str">
        <f>Koptāme!$A$13</f>
        <v>Pasūtītājs: Z/S "Jaunceriņi"</v>
      </c>
      <c r="B7" s="210"/>
      <c r="C7" s="210"/>
      <c r="D7" s="210"/>
      <c r="E7" s="210"/>
      <c r="F7" s="210"/>
      <c r="G7" s="210"/>
      <c r="H7" s="7"/>
      <c r="I7" s="2"/>
      <c r="J7" s="7"/>
      <c r="K7" s="7"/>
      <c r="L7" s="7"/>
      <c r="M7" s="7"/>
      <c r="N7" s="7"/>
      <c r="O7" s="7"/>
      <c r="P7" s="7"/>
    </row>
    <row r="8" spans="1:16" x14ac:dyDescent="0.2">
      <c r="A8" s="49"/>
      <c r="B8" s="47"/>
      <c r="C8" s="49"/>
      <c r="D8" s="52"/>
      <c r="E8" s="52"/>
      <c r="F8" s="52"/>
      <c r="G8" s="52"/>
      <c r="H8" s="52"/>
      <c r="I8" s="52"/>
      <c r="J8" s="52"/>
      <c r="K8" s="52"/>
      <c r="L8" s="52"/>
      <c r="M8" s="52"/>
      <c r="N8" s="52"/>
      <c r="O8" s="54" t="s">
        <v>47</v>
      </c>
      <c r="P8" s="78">
        <f>P256</f>
        <v>0</v>
      </c>
    </row>
    <row r="9" spans="1:16" x14ac:dyDescent="0.2">
      <c r="A9" s="49"/>
      <c r="B9" s="47"/>
      <c r="C9" s="49"/>
      <c r="D9" s="52"/>
      <c r="E9" s="52"/>
      <c r="F9" s="52"/>
      <c r="G9" s="52"/>
      <c r="H9" s="52"/>
      <c r="I9" s="52"/>
      <c r="J9" s="52"/>
      <c r="K9" s="52"/>
      <c r="L9" s="52"/>
      <c r="M9" s="52"/>
      <c r="N9" s="56" t="str">
        <f>Koptāme!$A$28</f>
        <v xml:space="preserve">Tāme sastādīta: </v>
      </c>
      <c r="O9" s="57"/>
      <c r="P9" s="57"/>
    </row>
    <row r="11" spans="1:16" ht="12.75" customHeight="1" x14ac:dyDescent="0.2">
      <c r="A11" s="214" t="s">
        <v>48</v>
      </c>
      <c r="B11" s="215" t="s">
        <v>49</v>
      </c>
      <c r="C11" s="214" t="s">
        <v>50</v>
      </c>
      <c r="D11" s="214" t="s">
        <v>51</v>
      </c>
      <c r="E11" s="214" t="s">
        <v>52</v>
      </c>
      <c r="F11" s="211" t="s">
        <v>53</v>
      </c>
      <c r="G11" s="211"/>
      <c r="H11" s="211"/>
      <c r="I11" s="211"/>
      <c r="J11" s="211"/>
      <c r="K11" s="211"/>
      <c r="L11" s="211" t="s">
        <v>54</v>
      </c>
      <c r="M11" s="211"/>
      <c r="N11" s="211"/>
      <c r="O11" s="211"/>
      <c r="P11" s="211"/>
    </row>
    <row r="12" spans="1:16" ht="48" x14ac:dyDescent="0.2">
      <c r="A12" s="214"/>
      <c r="B12" s="215"/>
      <c r="C12" s="214"/>
      <c r="D12" s="214"/>
      <c r="E12" s="214"/>
      <c r="F12" s="194" t="s">
        <v>55</v>
      </c>
      <c r="G12" s="194" t="s">
        <v>89</v>
      </c>
      <c r="H12" s="194" t="s">
        <v>57</v>
      </c>
      <c r="I12" s="194" t="s">
        <v>23</v>
      </c>
      <c r="J12" s="194" t="s">
        <v>58</v>
      </c>
      <c r="K12" s="194" t="s">
        <v>59</v>
      </c>
      <c r="L12" s="194" t="s">
        <v>60</v>
      </c>
      <c r="M12" s="194" t="s">
        <v>57</v>
      </c>
      <c r="N12" s="194" t="s">
        <v>23</v>
      </c>
      <c r="O12" s="194" t="s">
        <v>58</v>
      </c>
      <c r="P12" s="194" t="s">
        <v>61</v>
      </c>
    </row>
    <row r="13" spans="1:16" x14ac:dyDescent="0.2">
      <c r="A13" s="194">
        <v>1</v>
      </c>
      <c r="B13" s="194">
        <v>2</v>
      </c>
      <c r="C13" s="194">
        <v>3</v>
      </c>
      <c r="D13" s="194">
        <v>4</v>
      </c>
      <c r="E13" s="194">
        <v>5</v>
      </c>
      <c r="F13" s="194">
        <v>6</v>
      </c>
      <c r="G13" s="194">
        <v>7</v>
      </c>
      <c r="H13" s="194">
        <v>8</v>
      </c>
      <c r="I13" s="194">
        <v>9</v>
      </c>
      <c r="J13" s="194">
        <v>10</v>
      </c>
      <c r="K13" s="194">
        <v>11</v>
      </c>
      <c r="L13" s="194">
        <v>12</v>
      </c>
      <c r="M13" s="194">
        <v>13</v>
      </c>
      <c r="N13" s="194">
        <v>14</v>
      </c>
      <c r="O13" s="194">
        <v>15</v>
      </c>
      <c r="P13" s="194">
        <v>16</v>
      </c>
    </row>
    <row r="14" spans="1:16" x14ac:dyDescent="0.2">
      <c r="A14" s="58"/>
      <c r="B14" s="59"/>
      <c r="C14" s="60" t="s">
        <v>105</v>
      </c>
      <c r="D14" s="58"/>
      <c r="E14" s="58"/>
      <c r="F14" s="79"/>
      <c r="G14" s="58"/>
      <c r="H14" s="58"/>
      <c r="I14" s="58"/>
      <c r="J14" s="58"/>
      <c r="K14" s="58"/>
      <c r="L14" s="58"/>
      <c r="M14" s="58"/>
      <c r="N14" s="58"/>
      <c r="O14" s="58"/>
      <c r="P14" s="58"/>
    </row>
    <row r="15" spans="1:16" x14ac:dyDescent="0.2">
      <c r="A15" s="80">
        <f>IF(D15="","",COUNTIF(B$13:$B15,"l.c"))</f>
        <v>1</v>
      </c>
      <c r="B15" s="80" t="str">
        <f>IF(D15="","","l.c")</f>
        <v>l.c</v>
      </c>
      <c r="C15" s="14" t="s">
        <v>106</v>
      </c>
      <c r="D15" s="13" t="s">
        <v>107</v>
      </c>
      <c r="E15" s="63">
        <v>1</v>
      </c>
      <c r="F15" s="65"/>
      <c r="G15" s="64"/>
      <c r="H15" s="64"/>
      <c r="I15" s="64"/>
      <c r="J15" s="64"/>
      <c r="K15" s="64"/>
      <c r="L15" s="64"/>
      <c r="M15" s="64"/>
      <c r="N15" s="64"/>
      <c r="O15" s="64"/>
      <c r="P15" s="64"/>
    </row>
    <row r="16" spans="1:16" x14ac:dyDescent="0.2">
      <c r="A16" s="80" t="str">
        <f>IF(D16="","",COUNTIF(B$13:$B16,"l.c"))</f>
        <v/>
      </c>
      <c r="B16" s="80" t="str">
        <f t="shared" ref="B16:B77" si="0">IF(D16="","","l.c")</f>
        <v/>
      </c>
      <c r="C16" s="14"/>
      <c r="D16" s="13"/>
      <c r="E16" s="63"/>
      <c r="F16" s="65"/>
      <c r="G16" s="64"/>
      <c r="H16" s="64"/>
      <c r="I16" s="64"/>
      <c r="J16" s="64"/>
      <c r="K16" s="64"/>
      <c r="L16" s="64"/>
      <c r="M16" s="64"/>
      <c r="N16" s="64"/>
      <c r="O16" s="64"/>
      <c r="P16" s="64"/>
    </row>
    <row r="17" spans="1:18" x14ac:dyDescent="0.2">
      <c r="A17" s="80"/>
      <c r="B17" s="80"/>
      <c r="C17" s="81" t="s">
        <v>108</v>
      </c>
      <c r="D17" s="75" t="s">
        <v>109</v>
      </c>
      <c r="E17" s="82">
        <f>7</f>
        <v>7</v>
      </c>
      <c r="F17" s="65"/>
      <c r="G17" s="64"/>
      <c r="H17" s="64"/>
      <c r="I17" s="64"/>
      <c r="J17" s="64"/>
      <c r="K17" s="64"/>
      <c r="L17" s="64"/>
      <c r="M17" s="64"/>
      <c r="N17" s="64"/>
      <c r="O17" s="64"/>
      <c r="P17" s="64"/>
    </row>
    <row r="18" spans="1:18" x14ac:dyDescent="0.2">
      <c r="A18" s="80">
        <f>IF(D18="","",COUNTIF(B$13:$B18,"l.c"))</f>
        <v>2</v>
      </c>
      <c r="B18" s="80" t="str">
        <f t="shared" si="0"/>
        <v>l.c</v>
      </c>
      <c r="C18" s="83" t="s">
        <v>110</v>
      </c>
      <c r="D18" s="13" t="s">
        <v>93</v>
      </c>
      <c r="E18" s="63">
        <f>1.2*1.2*0.2*E17</f>
        <v>2.02</v>
      </c>
      <c r="F18" s="65"/>
      <c r="G18" s="64"/>
      <c r="H18" s="64"/>
      <c r="I18" s="64"/>
      <c r="J18" s="64"/>
      <c r="K18" s="64"/>
      <c r="L18" s="64"/>
      <c r="M18" s="64"/>
      <c r="N18" s="64"/>
      <c r="O18" s="64"/>
      <c r="P18" s="64"/>
    </row>
    <row r="19" spans="1:18" x14ac:dyDescent="0.2">
      <c r="A19" s="80">
        <f>IF(D19="","",COUNTIF(B$13:$B19,"l.c"))</f>
        <v>3</v>
      </c>
      <c r="B19" s="80" t="str">
        <f t="shared" si="0"/>
        <v>l.c</v>
      </c>
      <c r="C19" s="83" t="s">
        <v>111</v>
      </c>
      <c r="D19" s="13" t="s">
        <v>93</v>
      </c>
      <c r="E19" s="63">
        <f>E18*1.25</f>
        <v>2.5299999999999998</v>
      </c>
      <c r="F19" s="65"/>
      <c r="G19" s="64"/>
      <c r="H19" s="64"/>
      <c r="I19" s="64"/>
      <c r="J19" s="64"/>
      <c r="K19" s="64"/>
      <c r="L19" s="64"/>
      <c r="M19" s="64"/>
      <c r="N19" s="64"/>
      <c r="O19" s="64"/>
      <c r="P19" s="64"/>
    </row>
    <row r="20" spans="1:18" x14ac:dyDescent="0.2">
      <c r="A20" s="80">
        <f>IF(D20="","",COUNTIF(B$13:$B20,"l.c"))</f>
        <v>4</v>
      </c>
      <c r="B20" s="80" t="str">
        <f t="shared" si="0"/>
        <v>l.c</v>
      </c>
      <c r="C20" s="14" t="s">
        <v>112</v>
      </c>
      <c r="D20" s="13" t="s">
        <v>113</v>
      </c>
      <c r="E20" s="84">
        <f>25.5*1.4*E17</f>
        <v>249.9</v>
      </c>
      <c r="F20" s="65"/>
      <c r="G20" s="64"/>
      <c r="H20" s="64"/>
      <c r="I20" s="64"/>
      <c r="J20" s="64"/>
      <c r="K20" s="64"/>
      <c r="L20" s="64"/>
      <c r="M20" s="64"/>
      <c r="N20" s="64"/>
      <c r="O20" s="64"/>
      <c r="P20" s="64"/>
    </row>
    <row r="21" spans="1:18" x14ac:dyDescent="0.2">
      <c r="A21" s="80">
        <f>IF(D21="","",COUNTIF(B$13:$B21,"l.c"))</f>
        <v>5</v>
      </c>
      <c r="B21" s="80" t="str">
        <f t="shared" si="0"/>
        <v>l.c</v>
      </c>
      <c r="C21" s="14" t="s">
        <v>114</v>
      </c>
      <c r="D21" s="13" t="s">
        <v>68</v>
      </c>
      <c r="E21" s="63">
        <f>4*E17</f>
        <v>28</v>
      </c>
      <c r="F21" s="65"/>
      <c r="G21" s="64"/>
      <c r="H21" s="64"/>
      <c r="I21" s="64"/>
      <c r="J21" s="64"/>
      <c r="K21" s="64"/>
      <c r="L21" s="64"/>
      <c r="M21" s="64"/>
      <c r="N21" s="64"/>
      <c r="O21" s="64"/>
      <c r="P21" s="64"/>
    </row>
    <row r="22" spans="1:18" x14ac:dyDescent="0.2">
      <c r="A22" s="80">
        <f>IF(D22="","",COUNTIF(B$13:$B22,"l.c"))</f>
        <v>6</v>
      </c>
      <c r="B22" s="80" t="str">
        <f t="shared" si="0"/>
        <v>l.c</v>
      </c>
      <c r="C22" s="14" t="s">
        <v>115</v>
      </c>
      <c r="D22" s="13" t="s">
        <v>116</v>
      </c>
      <c r="E22" s="63">
        <f>0.3*1*4*E17</f>
        <v>8.4</v>
      </c>
      <c r="F22" s="65"/>
      <c r="G22" s="64"/>
      <c r="H22" s="64"/>
      <c r="I22" s="64"/>
      <c r="J22" s="64"/>
      <c r="K22" s="64"/>
      <c r="L22" s="64"/>
      <c r="M22" s="64"/>
      <c r="N22" s="64"/>
      <c r="O22" s="64"/>
      <c r="P22" s="64"/>
    </row>
    <row r="23" spans="1:18" x14ac:dyDescent="0.2">
      <c r="A23" s="80">
        <f>IF(D23="","",COUNTIF(B$13:$B23,"l.c"))</f>
        <v>7</v>
      </c>
      <c r="B23" s="80" t="str">
        <f t="shared" si="0"/>
        <v>l.c</v>
      </c>
      <c r="C23" s="14" t="s">
        <v>117</v>
      </c>
      <c r="D23" s="13" t="s">
        <v>93</v>
      </c>
      <c r="E23" s="63">
        <f>1*1*0.3*E17</f>
        <v>2.1</v>
      </c>
      <c r="F23" s="65"/>
      <c r="G23" s="64"/>
      <c r="H23" s="64"/>
      <c r="I23" s="64"/>
      <c r="J23" s="64"/>
      <c r="K23" s="64"/>
      <c r="L23" s="64"/>
      <c r="M23" s="64"/>
      <c r="N23" s="64"/>
      <c r="O23" s="64"/>
      <c r="P23" s="64"/>
      <c r="R23" s="1">
        <f>SUM(P20:P23)/E23</f>
        <v>0</v>
      </c>
    </row>
    <row r="24" spans="1:18" x14ac:dyDescent="0.2">
      <c r="A24" s="80" t="str">
        <f>IF(D24="","",COUNTIF(B$13:$B24,"l.c"))</f>
        <v/>
      </c>
      <c r="B24" s="80" t="str">
        <f t="shared" si="0"/>
        <v/>
      </c>
      <c r="C24" s="14"/>
      <c r="D24" s="13"/>
      <c r="E24" s="63"/>
      <c r="F24" s="65"/>
      <c r="G24" s="64"/>
      <c r="H24" s="64"/>
      <c r="I24" s="64"/>
      <c r="J24" s="64"/>
      <c r="K24" s="64"/>
      <c r="L24" s="64"/>
      <c r="M24" s="64"/>
      <c r="N24" s="64"/>
      <c r="O24" s="64"/>
      <c r="P24" s="64"/>
    </row>
    <row r="25" spans="1:18" x14ac:dyDescent="0.2">
      <c r="A25" s="80"/>
      <c r="B25" s="80"/>
      <c r="C25" s="81" t="s">
        <v>118</v>
      </c>
      <c r="D25" s="75" t="s">
        <v>109</v>
      </c>
      <c r="E25" s="82">
        <v>9</v>
      </c>
      <c r="F25" s="65"/>
      <c r="G25" s="64"/>
      <c r="H25" s="64"/>
      <c r="I25" s="64"/>
      <c r="J25" s="64"/>
      <c r="K25" s="64"/>
      <c r="L25" s="64"/>
      <c r="M25" s="64"/>
      <c r="N25" s="64"/>
      <c r="O25" s="64"/>
      <c r="P25" s="64"/>
    </row>
    <row r="26" spans="1:18" x14ac:dyDescent="0.2">
      <c r="A26" s="80">
        <f>IF(D26="","",COUNTIF(B$13:$B26,"l.c"))</f>
        <v>8</v>
      </c>
      <c r="B26" s="80" t="str">
        <f t="shared" si="0"/>
        <v>l.c</v>
      </c>
      <c r="C26" s="83" t="s">
        <v>110</v>
      </c>
      <c r="D26" s="13" t="s">
        <v>93</v>
      </c>
      <c r="E26" s="63">
        <f>1.2*1.4*0.2*E25</f>
        <v>3.02</v>
      </c>
      <c r="F26" s="65"/>
      <c r="G26" s="64"/>
      <c r="H26" s="64"/>
      <c r="I26" s="64"/>
      <c r="J26" s="64"/>
      <c r="K26" s="64"/>
      <c r="L26" s="64"/>
      <c r="M26" s="64"/>
      <c r="N26" s="64"/>
      <c r="O26" s="64"/>
      <c r="P26" s="64"/>
    </row>
    <row r="27" spans="1:18" x14ac:dyDescent="0.2">
      <c r="A27" s="80">
        <f>IF(D27="","",COUNTIF(B$13:$B27,"l.c"))</f>
        <v>9</v>
      </c>
      <c r="B27" s="80" t="str">
        <f t="shared" si="0"/>
        <v>l.c</v>
      </c>
      <c r="C27" s="83" t="s">
        <v>111</v>
      </c>
      <c r="D27" s="13" t="s">
        <v>93</v>
      </c>
      <c r="E27" s="63">
        <f>E26*1.25</f>
        <v>3.78</v>
      </c>
      <c r="F27" s="65"/>
      <c r="G27" s="64"/>
      <c r="H27" s="64"/>
      <c r="I27" s="64"/>
      <c r="J27" s="64"/>
      <c r="K27" s="64"/>
      <c r="L27" s="64"/>
      <c r="M27" s="64"/>
      <c r="N27" s="64"/>
      <c r="O27" s="64"/>
      <c r="P27" s="64"/>
    </row>
    <row r="28" spans="1:18" x14ac:dyDescent="0.2">
      <c r="A28" s="80">
        <f>IF(D28="","",COUNTIF(B$13:$B28,"l.c"))</f>
        <v>10</v>
      </c>
      <c r="B28" s="80" t="str">
        <f t="shared" si="0"/>
        <v>l.c</v>
      </c>
      <c r="C28" s="14" t="s">
        <v>112</v>
      </c>
      <c r="D28" s="13" t="s">
        <v>113</v>
      </c>
      <c r="E28" s="84">
        <f>25.2*1.4*E25</f>
        <v>317.52</v>
      </c>
      <c r="F28" s="65"/>
      <c r="G28" s="64"/>
      <c r="H28" s="64"/>
      <c r="I28" s="64"/>
      <c r="J28" s="64"/>
      <c r="K28" s="64"/>
      <c r="L28" s="64"/>
      <c r="M28" s="64"/>
      <c r="N28" s="64"/>
      <c r="O28" s="64"/>
      <c r="P28" s="64"/>
    </row>
    <row r="29" spans="1:18" x14ac:dyDescent="0.2">
      <c r="A29" s="80">
        <f>IF(D29="","",COUNTIF(B$13:$B29,"l.c"))</f>
        <v>11</v>
      </c>
      <c r="B29" s="80" t="str">
        <f t="shared" si="0"/>
        <v>l.c</v>
      </c>
      <c r="C29" s="14" t="s">
        <v>114</v>
      </c>
      <c r="D29" s="13" t="s">
        <v>68</v>
      </c>
      <c r="E29" s="63">
        <f>4*E25</f>
        <v>36</v>
      </c>
      <c r="F29" s="65"/>
      <c r="G29" s="64"/>
      <c r="H29" s="64"/>
      <c r="I29" s="64"/>
      <c r="J29" s="64"/>
      <c r="K29" s="64"/>
      <c r="L29" s="64"/>
      <c r="M29" s="64"/>
      <c r="N29" s="64"/>
      <c r="O29" s="64"/>
      <c r="P29" s="64"/>
    </row>
    <row r="30" spans="1:18" x14ac:dyDescent="0.2">
      <c r="A30" s="80">
        <f>IF(D30="","",COUNTIF(B$13:$B30,"l.c"))</f>
        <v>12</v>
      </c>
      <c r="B30" s="80" t="str">
        <f t="shared" si="0"/>
        <v>l.c</v>
      </c>
      <c r="C30" s="14" t="s">
        <v>115</v>
      </c>
      <c r="D30" s="13" t="s">
        <v>116</v>
      </c>
      <c r="E30" s="63">
        <f>0.3*(1*2+1.2*2)*E25</f>
        <v>11.88</v>
      </c>
      <c r="F30" s="65"/>
      <c r="G30" s="64"/>
      <c r="H30" s="64"/>
      <c r="I30" s="64"/>
      <c r="J30" s="64"/>
      <c r="K30" s="64"/>
      <c r="L30" s="64"/>
      <c r="M30" s="64"/>
      <c r="N30" s="64"/>
      <c r="O30" s="64"/>
      <c r="P30" s="64"/>
    </row>
    <row r="31" spans="1:18" x14ac:dyDescent="0.2">
      <c r="A31" s="80">
        <f>IF(D31="","",COUNTIF(B$13:$B31,"l.c"))</f>
        <v>13</v>
      </c>
      <c r="B31" s="80" t="str">
        <f t="shared" si="0"/>
        <v>l.c</v>
      </c>
      <c r="C31" s="14" t="s">
        <v>117</v>
      </c>
      <c r="D31" s="13" t="s">
        <v>93</v>
      </c>
      <c r="E31" s="63">
        <f>1*1.2*0.3*E25</f>
        <v>3.24</v>
      </c>
      <c r="F31" s="65"/>
      <c r="G31" s="64"/>
      <c r="H31" s="64"/>
      <c r="I31" s="64"/>
      <c r="J31" s="64"/>
      <c r="K31" s="64"/>
      <c r="L31" s="64"/>
      <c r="M31" s="64"/>
      <c r="N31" s="64"/>
      <c r="O31" s="64"/>
      <c r="P31" s="64"/>
      <c r="R31" s="1">
        <f>SUM(P28:P31)/E31</f>
        <v>0</v>
      </c>
    </row>
    <row r="32" spans="1:18" x14ac:dyDescent="0.2">
      <c r="A32" s="80" t="str">
        <f>IF(D32="","",COUNTIF(B$13:$B32,"l.c"))</f>
        <v/>
      </c>
      <c r="B32" s="80" t="str">
        <f t="shared" si="0"/>
        <v/>
      </c>
      <c r="C32" s="14"/>
      <c r="D32" s="13"/>
      <c r="E32" s="63"/>
      <c r="F32" s="65"/>
      <c r="G32" s="64"/>
      <c r="H32" s="64"/>
      <c r="I32" s="64"/>
      <c r="J32" s="64"/>
      <c r="K32" s="64"/>
      <c r="L32" s="64"/>
      <c r="M32" s="64"/>
      <c r="N32" s="64"/>
      <c r="O32" s="64"/>
      <c r="P32" s="64"/>
    </row>
    <row r="33" spans="1:18" x14ac:dyDescent="0.2">
      <c r="A33" s="80"/>
      <c r="B33" s="80"/>
      <c r="C33" s="81" t="s">
        <v>119</v>
      </c>
      <c r="D33" s="75" t="s">
        <v>109</v>
      </c>
      <c r="E33" s="82">
        <v>17</v>
      </c>
      <c r="F33" s="65"/>
      <c r="G33" s="64"/>
      <c r="H33" s="64"/>
      <c r="I33" s="64"/>
      <c r="J33" s="64"/>
      <c r="K33" s="64"/>
      <c r="L33" s="64"/>
      <c r="M33" s="64"/>
      <c r="N33" s="64"/>
      <c r="O33" s="64"/>
      <c r="P33" s="64"/>
    </row>
    <row r="34" spans="1:18" x14ac:dyDescent="0.2">
      <c r="A34" s="80">
        <f>IF(D34="","",COUNTIF(B$13:$B34,"l.c"))</f>
        <v>14</v>
      </c>
      <c r="B34" s="80" t="str">
        <f t="shared" si="0"/>
        <v>l.c</v>
      </c>
      <c r="C34" s="83" t="s">
        <v>110</v>
      </c>
      <c r="D34" s="13" t="s">
        <v>93</v>
      </c>
      <c r="E34" s="63">
        <f>1.4*1.4*0.2*E33</f>
        <v>6.66</v>
      </c>
      <c r="F34" s="65"/>
      <c r="G34" s="64"/>
      <c r="H34" s="64"/>
      <c r="I34" s="64"/>
      <c r="J34" s="64"/>
      <c r="K34" s="64"/>
      <c r="L34" s="64"/>
      <c r="M34" s="64"/>
      <c r="N34" s="64"/>
      <c r="O34" s="64"/>
      <c r="P34" s="64"/>
    </row>
    <row r="35" spans="1:18" x14ac:dyDescent="0.2">
      <c r="A35" s="80">
        <f>IF(D35="","",COUNTIF(B$13:$B35,"l.c"))</f>
        <v>15</v>
      </c>
      <c r="B35" s="80" t="str">
        <f t="shared" si="0"/>
        <v>l.c</v>
      </c>
      <c r="C35" s="83" t="s">
        <v>111</v>
      </c>
      <c r="D35" s="13" t="s">
        <v>93</v>
      </c>
      <c r="E35" s="63">
        <f>E34*1.25</f>
        <v>8.33</v>
      </c>
      <c r="F35" s="65"/>
      <c r="G35" s="64"/>
      <c r="H35" s="64"/>
      <c r="I35" s="64"/>
      <c r="J35" s="64"/>
      <c r="K35" s="64"/>
      <c r="L35" s="64"/>
      <c r="M35" s="64"/>
      <c r="N35" s="64"/>
      <c r="O35" s="64"/>
      <c r="P35" s="64"/>
    </row>
    <row r="36" spans="1:18" x14ac:dyDescent="0.2">
      <c r="A36" s="80">
        <f>IF(D36="","",COUNTIF(B$13:$B36,"l.c"))</f>
        <v>16</v>
      </c>
      <c r="B36" s="80" t="str">
        <f t="shared" si="0"/>
        <v>l.c</v>
      </c>
      <c r="C36" s="14" t="s">
        <v>112</v>
      </c>
      <c r="D36" s="13" t="s">
        <v>113</v>
      </c>
      <c r="E36" s="84">
        <f>25.4*1.4*E33</f>
        <v>604.52</v>
      </c>
      <c r="F36" s="65"/>
      <c r="G36" s="64"/>
      <c r="H36" s="64"/>
      <c r="I36" s="64"/>
      <c r="J36" s="64"/>
      <c r="K36" s="64"/>
      <c r="L36" s="64"/>
      <c r="M36" s="64"/>
      <c r="N36" s="64"/>
      <c r="O36" s="64"/>
      <c r="P36" s="64"/>
    </row>
    <row r="37" spans="1:18" x14ac:dyDescent="0.2">
      <c r="A37" s="80">
        <f>IF(D37="","",COUNTIF(B$13:$B37,"l.c"))</f>
        <v>17</v>
      </c>
      <c r="B37" s="80" t="str">
        <f t="shared" si="0"/>
        <v>l.c</v>
      </c>
      <c r="C37" s="14" t="s">
        <v>114</v>
      </c>
      <c r="D37" s="13" t="s">
        <v>68</v>
      </c>
      <c r="E37" s="63">
        <f>4*E33</f>
        <v>68</v>
      </c>
      <c r="F37" s="65"/>
      <c r="G37" s="64"/>
      <c r="H37" s="64"/>
      <c r="I37" s="64"/>
      <c r="J37" s="64"/>
      <c r="K37" s="64"/>
      <c r="L37" s="64"/>
      <c r="M37" s="64"/>
      <c r="N37" s="64"/>
      <c r="O37" s="64"/>
      <c r="P37" s="64"/>
    </row>
    <row r="38" spans="1:18" x14ac:dyDescent="0.2">
      <c r="A38" s="80">
        <f>IF(D38="","",COUNTIF(B$13:$B38,"l.c"))</f>
        <v>18</v>
      </c>
      <c r="B38" s="80" t="str">
        <f t="shared" si="0"/>
        <v>l.c</v>
      </c>
      <c r="C38" s="14" t="s">
        <v>115</v>
      </c>
      <c r="D38" s="13" t="s">
        <v>116</v>
      </c>
      <c r="E38" s="63">
        <f>0.3*(1.2*4)*E33</f>
        <v>24.48</v>
      </c>
      <c r="F38" s="65"/>
      <c r="G38" s="64"/>
      <c r="H38" s="64"/>
      <c r="I38" s="64"/>
      <c r="J38" s="64"/>
      <c r="K38" s="64"/>
      <c r="L38" s="64"/>
      <c r="M38" s="64"/>
      <c r="N38" s="64"/>
      <c r="O38" s="64"/>
      <c r="P38" s="64"/>
    </row>
    <row r="39" spans="1:18" x14ac:dyDescent="0.2">
      <c r="A39" s="80">
        <f>IF(D39="","",COUNTIF(B$13:$B39,"l.c"))</f>
        <v>19</v>
      </c>
      <c r="B39" s="80" t="str">
        <f t="shared" si="0"/>
        <v>l.c</v>
      </c>
      <c r="C39" s="14" t="s">
        <v>117</v>
      </c>
      <c r="D39" s="13" t="s">
        <v>93</v>
      </c>
      <c r="E39" s="63">
        <f>1.2*1.2*0.3*E33</f>
        <v>7.34</v>
      </c>
      <c r="F39" s="65"/>
      <c r="G39" s="64"/>
      <c r="H39" s="64"/>
      <c r="I39" s="64"/>
      <c r="J39" s="64"/>
      <c r="K39" s="64"/>
      <c r="L39" s="64"/>
      <c r="M39" s="64"/>
      <c r="N39" s="64"/>
      <c r="O39" s="64"/>
      <c r="P39" s="64"/>
      <c r="R39" s="1">
        <f>SUM(P36:P39)/E39</f>
        <v>0</v>
      </c>
    </row>
    <row r="40" spans="1:18" x14ac:dyDescent="0.2">
      <c r="A40" s="80"/>
      <c r="B40" s="80"/>
      <c r="C40" s="14"/>
      <c r="D40" s="13"/>
      <c r="E40" s="63"/>
      <c r="F40" s="65"/>
      <c r="G40" s="64"/>
      <c r="H40" s="64"/>
      <c r="I40" s="64"/>
      <c r="J40" s="64"/>
      <c r="K40" s="64"/>
      <c r="L40" s="64"/>
      <c r="M40" s="64"/>
      <c r="N40" s="64"/>
      <c r="O40" s="64"/>
      <c r="P40" s="64"/>
    </row>
    <row r="41" spans="1:18" x14ac:dyDescent="0.2">
      <c r="A41" s="80"/>
      <c r="B41" s="80"/>
      <c r="C41" s="81" t="s">
        <v>120</v>
      </c>
      <c r="D41" s="75" t="s">
        <v>109</v>
      </c>
      <c r="E41" s="82">
        <v>2</v>
      </c>
      <c r="F41" s="65"/>
      <c r="G41" s="64"/>
      <c r="H41" s="64"/>
      <c r="I41" s="64"/>
      <c r="J41" s="64"/>
      <c r="K41" s="64"/>
      <c r="L41" s="64"/>
      <c r="M41" s="64"/>
      <c r="N41" s="64"/>
      <c r="O41" s="64"/>
      <c r="P41" s="64"/>
    </row>
    <row r="42" spans="1:18" x14ac:dyDescent="0.2">
      <c r="A42" s="80">
        <f>IF(D42="","",COUNTIF(B$13:$B42,"l.c"))</f>
        <v>20</v>
      </c>
      <c r="B42" s="80" t="str">
        <f t="shared" si="0"/>
        <v>l.c</v>
      </c>
      <c r="C42" s="83" t="s">
        <v>110</v>
      </c>
      <c r="D42" s="13" t="s">
        <v>93</v>
      </c>
      <c r="E42" s="63">
        <f>1.7*1.3*0.2*E41</f>
        <v>0.88</v>
      </c>
      <c r="F42" s="65"/>
      <c r="G42" s="64"/>
      <c r="H42" s="64"/>
      <c r="I42" s="64"/>
      <c r="J42" s="64"/>
      <c r="K42" s="64"/>
      <c r="L42" s="64"/>
      <c r="M42" s="64"/>
      <c r="N42" s="64"/>
      <c r="O42" s="64"/>
      <c r="P42" s="64"/>
    </row>
    <row r="43" spans="1:18" x14ac:dyDescent="0.2">
      <c r="A43" s="80">
        <f>IF(D43="","",COUNTIF(B$13:$B43,"l.c"))</f>
        <v>21</v>
      </c>
      <c r="B43" s="80" t="str">
        <f t="shared" si="0"/>
        <v>l.c</v>
      </c>
      <c r="C43" s="83" t="s">
        <v>111</v>
      </c>
      <c r="D43" s="13" t="s">
        <v>93</v>
      </c>
      <c r="E43" s="63">
        <f>E42*1.25</f>
        <v>1.1000000000000001</v>
      </c>
      <c r="F43" s="65"/>
      <c r="G43" s="64"/>
      <c r="H43" s="64"/>
      <c r="I43" s="64"/>
      <c r="J43" s="64"/>
      <c r="K43" s="64"/>
      <c r="L43" s="64"/>
      <c r="M43" s="64"/>
      <c r="N43" s="64"/>
      <c r="O43" s="64"/>
      <c r="P43" s="64"/>
    </row>
    <row r="44" spans="1:18" x14ac:dyDescent="0.2">
      <c r="A44" s="80">
        <f>IF(D44="","",COUNTIF(B$13:$B44,"l.c"))</f>
        <v>22</v>
      </c>
      <c r="B44" s="80" t="str">
        <f t="shared" si="0"/>
        <v>l.c</v>
      </c>
      <c r="C44" s="14" t="s">
        <v>112</v>
      </c>
      <c r="D44" s="13" t="s">
        <v>113</v>
      </c>
      <c r="E44" s="84">
        <f>28.3*1.4*E41</f>
        <v>79.239999999999995</v>
      </c>
      <c r="F44" s="65"/>
      <c r="G44" s="64"/>
      <c r="H44" s="64"/>
      <c r="I44" s="64"/>
      <c r="J44" s="64"/>
      <c r="K44" s="64"/>
      <c r="L44" s="64"/>
      <c r="M44" s="64"/>
      <c r="N44" s="64"/>
      <c r="O44" s="64"/>
      <c r="P44" s="64"/>
    </row>
    <row r="45" spans="1:18" x14ac:dyDescent="0.2">
      <c r="A45" s="80">
        <f>IF(D45="","",COUNTIF(B$13:$B45,"l.c"))</f>
        <v>23</v>
      </c>
      <c r="B45" s="80" t="str">
        <f t="shared" si="0"/>
        <v>l.c</v>
      </c>
      <c r="C45" s="14" t="s">
        <v>114</v>
      </c>
      <c r="D45" s="13" t="s">
        <v>68</v>
      </c>
      <c r="E45" s="63">
        <f>E41*8</f>
        <v>16</v>
      </c>
      <c r="F45" s="65"/>
      <c r="G45" s="64"/>
      <c r="H45" s="64"/>
      <c r="I45" s="64"/>
      <c r="J45" s="64"/>
      <c r="K45" s="64"/>
      <c r="L45" s="64"/>
      <c r="M45" s="64"/>
      <c r="N45" s="64"/>
      <c r="O45" s="64"/>
      <c r="P45" s="64"/>
    </row>
    <row r="46" spans="1:18" x14ac:dyDescent="0.2">
      <c r="A46" s="80">
        <f>IF(D46="","",COUNTIF(B$13:$B46,"l.c"))</f>
        <v>24</v>
      </c>
      <c r="B46" s="80" t="str">
        <f t="shared" si="0"/>
        <v>l.c</v>
      </c>
      <c r="C46" s="14" t="s">
        <v>115</v>
      </c>
      <c r="D46" s="13" t="s">
        <v>116</v>
      </c>
      <c r="E46" s="63">
        <f>(1.5*2+1.1*2)*0.3*E41</f>
        <v>3.12</v>
      </c>
      <c r="F46" s="65"/>
      <c r="G46" s="64"/>
      <c r="H46" s="64"/>
      <c r="I46" s="64"/>
      <c r="J46" s="64"/>
      <c r="K46" s="64"/>
      <c r="L46" s="64"/>
      <c r="M46" s="64"/>
      <c r="N46" s="64"/>
      <c r="O46" s="64"/>
      <c r="P46" s="64"/>
    </row>
    <row r="47" spans="1:18" x14ac:dyDescent="0.2">
      <c r="A47" s="80">
        <f>IF(D47="","",COUNTIF(B$13:$B47,"l.c"))</f>
        <v>25</v>
      </c>
      <c r="B47" s="80" t="str">
        <f t="shared" si="0"/>
        <v>l.c</v>
      </c>
      <c r="C47" s="14" t="s">
        <v>117</v>
      </c>
      <c r="D47" s="13" t="s">
        <v>93</v>
      </c>
      <c r="E47" s="63">
        <f>1.5*1.1*0.3*E41</f>
        <v>0.99</v>
      </c>
      <c r="F47" s="65"/>
      <c r="G47" s="64"/>
      <c r="H47" s="64"/>
      <c r="I47" s="64"/>
      <c r="J47" s="64"/>
      <c r="K47" s="64"/>
      <c r="L47" s="64"/>
      <c r="M47" s="64"/>
      <c r="N47" s="64"/>
      <c r="O47" s="64"/>
      <c r="P47" s="64"/>
      <c r="R47" s="1">
        <f>SUM(P44:P47)/E47</f>
        <v>0</v>
      </c>
    </row>
    <row r="48" spans="1:18" x14ac:dyDescent="0.2">
      <c r="A48" s="80"/>
      <c r="B48" s="80"/>
      <c r="C48" s="14"/>
      <c r="D48" s="13"/>
      <c r="E48" s="63"/>
      <c r="F48" s="65"/>
      <c r="G48" s="64"/>
      <c r="H48" s="64"/>
      <c r="I48" s="64"/>
      <c r="J48" s="64"/>
      <c r="K48" s="64"/>
      <c r="L48" s="64"/>
      <c r="M48" s="64"/>
      <c r="N48" s="64"/>
      <c r="O48" s="64"/>
      <c r="P48" s="64"/>
    </row>
    <row r="49" spans="1:18" x14ac:dyDescent="0.2">
      <c r="A49" s="80"/>
      <c r="B49" s="80"/>
      <c r="C49" s="81" t="s">
        <v>121</v>
      </c>
      <c r="D49" s="75" t="s">
        <v>109</v>
      </c>
      <c r="E49" s="82">
        <v>3</v>
      </c>
      <c r="F49" s="65"/>
      <c r="G49" s="64"/>
      <c r="H49" s="64"/>
      <c r="I49" s="64"/>
      <c r="J49" s="64"/>
      <c r="K49" s="64"/>
      <c r="L49" s="64"/>
      <c r="M49" s="64"/>
      <c r="N49" s="64"/>
      <c r="O49" s="64"/>
      <c r="P49" s="64"/>
    </row>
    <row r="50" spans="1:18" x14ac:dyDescent="0.2">
      <c r="A50" s="80">
        <f>IF(D50="","",COUNTIF(B$13:$B50,"l.c"))</f>
        <v>26</v>
      </c>
      <c r="B50" s="80" t="str">
        <f t="shared" ref="B50:B55" si="1">IF(D50="","","l.c")</f>
        <v>l.c</v>
      </c>
      <c r="C50" s="83" t="s">
        <v>110</v>
      </c>
      <c r="D50" s="13" t="s">
        <v>93</v>
      </c>
      <c r="E50" s="63">
        <f>0.85*0.85*0.3*E49</f>
        <v>0.65</v>
      </c>
      <c r="F50" s="65"/>
      <c r="G50" s="64"/>
      <c r="H50" s="64"/>
      <c r="I50" s="64"/>
      <c r="J50" s="64"/>
      <c r="K50" s="64"/>
      <c r="L50" s="64"/>
      <c r="M50" s="64"/>
      <c r="N50" s="64"/>
      <c r="O50" s="64"/>
      <c r="P50" s="64"/>
    </row>
    <row r="51" spans="1:18" x14ac:dyDescent="0.2">
      <c r="A51" s="80">
        <f>IF(D51="","",COUNTIF(B$13:$B51,"l.c"))</f>
        <v>27</v>
      </c>
      <c r="B51" s="80" t="str">
        <f t="shared" si="1"/>
        <v>l.c</v>
      </c>
      <c r="C51" s="83" t="s">
        <v>111</v>
      </c>
      <c r="D51" s="13" t="s">
        <v>93</v>
      </c>
      <c r="E51" s="63">
        <f>E50*1.25</f>
        <v>0.81</v>
      </c>
      <c r="F51" s="65"/>
      <c r="G51" s="64"/>
      <c r="H51" s="64"/>
      <c r="I51" s="64"/>
      <c r="J51" s="64"/>
      <c r="K51" s="64"/>
      <c r="L51" s="64"/>
      <c r="M51" s="64"/>
      <c r="N51" s="64"/>
      <c r="O51" s="64"/>
      <c r="P51" s="64"/>
    </row>
    <row r="52" spans="1:18" x14ac:dyDescent="0.2">
      <c r="A52" s="80">
        <f>IF(D52="","",COUNTIF(B$13:$B52,"l.c"))</f>
        <v>28</v>
      </c>
      <c r="B52" s="80" t="str">
        <f t="shared" si="1"/>
        <v>l.c</v>
      </c>
      <c r="C52" s="14" t="s">
        <v>112</v>
      </c>
      <c r="D52" s="13" t="s">
        <v>113</v>
      </c>
      <c r="E52" s="84">
        <f>7.28*1.4*E49</f>
        <v>30.58</v>
      </c>
      <c r="F52" s="65"/>
      <c r="G52" s="64"/>
      <c r="H52" s="64"/>
      <c r="I52" s="64"/>
      <c r="J52" s="64"/>
      <c r="K52" s="64"/>
      <c r="L52" s="64"/>
      <c r="M52" s="64"/>
      <c r="N52" s="64"/>
      <c r="O52" s="64"/>
      <c r="P52" s="64"/>
    </row>
    <row r="53" spans="1:18" x14ac:dyDescent="0.2">
      <c r="A53" s="80">
        <f>IF(D53="","",COUNTIF(B$13:$B53,"l.c"))</f>
        <v>29</v>
      </c>
      <c r="B53" s="80" t="str">
        <f t="shared" si="1"/>
        <v>l.c</v>
      </c>
      <c r="C53" s="14" t="s">
        <v>114</v>
      </c>
      <c r="D53" s="13" t="s">
        <v>68</v>
      </c>
      <c r="E53" s="63">
        <f>4*E49</f>
        <v>12</v>
      </c>
      <c r="F53" s="65"/>
      <c r="G53" s="64"/>
      <c r="H53" s="64"/>
      <c r="I53" s="64"/>
      <c r="J53" s="64"/>
      <c r="K53" s="64"/>
      <c r="L53" s="64"/>
      <c r="M53" s="64"/>
      <c r="N53" s="64"/>
      <c r="O53" s="64"/>
      <c r="P53" s="64"/>
    </row>
    <row r="54" spans="1:18" x14ac:dyDescent="0.2">
      <c r="A54" s="80">
        <f>IF(D54="","",COUNTIF(B$13:$B54,"l.c"))</f>
        <v>30</v>
      </c>
      <c r="B54" s="80" t="str">
        <f t="shared" si="1"/>
        <v>l.c</v>
      </c>
      <c r="C54" s="14" t="s">
        <v>115</v>
      </c>
      <c r="D54" s="13" t="s">
        <v>116</v>
      </c>
      <c r="E54" s="63">
        <f>(0.65*4)*0.3*E49</f>
        <v>2.34</v>
      </c>
      <c r="F54" s="65"/>
      <c r="G54" s="64"/>
      <c r="H54" s="64"/>
      <c r="I54" s="64"/>
      <c r="J54" s="64"/>
      <c r="K54" s="64"/>
      <c r="L54" s="64"/>
      <c r="M54" s="64"/>
      <c r="N54" s="64"/>
      <c r="O54" s="64"/>
      <c r="P54" s="64"/>
    </row>
    <row r="55" spans="1:18" x14ac:dyDescent="0.2">
      <c r="A55" s="80">
        <f>IF(D55="","",COUNTIF(B$13:$B55,"l.c"))</f>
        <v>31</v>
      </c>
      <c r="B55" s="80" t="str">
        <f t="shared" si="1"/>
        <v>l.c</v>
      </c>
      <c r="C55" s="14" t="s">
        <v>117</v>
      </c>
      <c r="D55" s="13" t="s">
        <v>93</v>
      </c>
      <c r="E55" s="63">
        <f>0.65*0.65*0.3*E49</f>
        <v>0.38</v>
      </c>
      <c r="F55" s="65"/>
      <c r="G55" s="64"/>
      <c r="H55" s="64"/>
      <c r="I55" s="64"/>
      <c r="J55" s="64"/>
      <c r="K55" s="64"/>
      <c r="L55" s="64"/>
      <c r="M55" s="64"/>
      <c r="N55" s="64"/>
      <c r="O55" s="64"/>
      <c r="P55" s="64"/>
      <c r="R55" s="1">
        <f>SUM(P52:P55)/E55</f>
        <v>0</v>
      </c>
    </row>
    <row r="56" spans="1:18" x14ac:dyDescent="0.2">
      <c r="A56" s="80" t="str">
        <f>IF(D56="","",COUNTIF(B$13:$B56,"l.c"))</f>
        <v/>
      </c>
      <c r="B56" s="80" t="str">
        <f t="shared" si="0"/>
        <v/>
      </c>
      <c r="C56" s="14"/>
      <c r="D56" s="13"/>
      <c r="E56" s="63"/>
      <c r="F56" s="65"/>
      <c r="G56" s="64"/>
      <c r="H56" s="64"/>
      <c r="I56" s="64"/>
      <c r="J56" s="64"/>
      <c r="K56" s="64"/>
      <c r="L56" s="64"/>
      <c r="M56" s="64"/>
      <c r="N56" s="64"/>
      <c r="O56" s="64"/>
      <c r="P56" s="64"/>
    </row>
    <row r="57" spans="1:18" x14ac:dyDescent="0.2">
      <c r="A57" s="80"/>
      <c r="B57" s="80"/>
      <c r="C57" s="81" t="s">
        <v>122</v>
      </c>
      <c r="D57" s="75" t="s">
        <v>109</v>
      </c>
      <c r="E57" s="82">
        <v>1</v>
      </c>
      <c r="F57" s="65"/>
      <c r="G57" s="64"/>
      <c r="H57" s="64"/>
      <c r="I57" s="64"/>
      <c r="J57" s="64"/>
      <c r="K57" s="64"/>
      <c r="L57" s="64"/>
      <c r="M57" s="64"/>
      <c r="N57" s="64"/>
      <c r="O57" s="64"/>
      <c r="P57" s="64"/>
    </row>
    <row r="58" spans="1:18" x14ac:dyDescent="0.2">
      <c r="A58" s="80">
        <f>IF(D58="","",COUNTIF(B$13:$B58,"l.c"))</f>
        <v>32</v>
      </c>
      <c r="B58" s="80" t="str">
        <f t="shared" si="0"/>
        <v>l.c</v>
      </c>
      <c r="C58" s="83" t="s">
        <v>110</v>
      </c>
      <c r="D58" s="13" t="s">
        <v>93</v>
      </c>
      <c r="E58" s="63">
        <f>5.2*3.2*0.2*E57</f>
        <v>3.33</v>
      </c>
      <c r="F58" s="65"/>
      <c r="G58" s="64"/>
      <c r="H58" s="64"/>
      <c r="I58" s="64"/>
      <c r="J58" s="64"/>
      <c r="K58" s="64"/>
      <c r="L58" s="64"/>
      <c r="M58" s="64"/>
      <c r="N58" s="64"/>
      <c r="O58" s="64"/>
      <c r="P58" s="64"/>
    </row>
    <row r="59" spans="1:18" x14ac:dyDescent="0.2">
      <c r="A59" s="80">
        <f>IF(D59="","",COUNTIF(B$13:$B59,"l.c"))</f>
        <v>33</v>
      </c>
      <c r="B59" s="80" t="str">
        <f t="shared" si="0"/>
        <v>l.c</v>
      </c>
      <c r="C59" s="83" t="s">
        <v>111</v>
      </c>
      <c r="D59" s="13" t="s">
        <v>93</v>
      </c>
      <c r="E59" s="63">
        <f>E58*1.25</f>
        <v>4.16</v>
      </c>
      <c r="F59" s="65"/>
      <c r="G59" s="64"/>
      <c r="H59" s="64"/>
      <c r="I59" s="64"/>
      <c r="J59" s="64"/>
      <c r="K59" s="64"/>
      <c r="L59" s="64"/>
      <c r="M59" s="64"/>
      <c r="N59" s="64"/>
      <c r="O59" s="64"/>
      <c r="P59" s="64"/>
    </row>
    <row r="60" spans="1:18" x14ac:dyDescent="0.2">
      <c r="A60" s="80">
        <f>IF(D60="","",COUNTIF(B$13:$B60,"l.c"))</f>
        <v>34</v>
      </c>
      <c r="B60" s="80" t="str">
        <f t="shared" si="0"/>
        <v>l.c</v>
      </c>
      <c r="C60" s="14" t="s">
        <v>112</v>
      </c>
      <c r="D60" s="13" t="s">
        <v>113</v>
      </c>
      <c r="E60" s="84">
        <f>261*1.4</f>
        <v>365.4</v>
      </c>
      <c r="F60" s="65"/>
      <c r="G60" s="64"/>
      <c r="H60" s="64"/>
      <c r="I60" s="64"/>
      <c r="J60" s="64"/>
      <c r="K60" s="64"/>
      <c r="L60" s="64"/>
      <c r="M60" s="64"/>
      <c r="N60" s="64"/>
      <c r="O60" s="64"/>
      <c r="P60" s="64"/>
    </row>
    <row r="61" spans="1:18" x14ac:dyDescent="0.2">
      <c r="A61" s="80">
        <f>IF(D61="","",COUNTIF(B$13:$B61,"l.c"))</f>
        <v>35</v>
      </c>
      <c r="B61" s="80" t="str">
        <f t="shared" si="0"/>
        <v>l.c</v>
      </c>
      <c r="C61" s="14" t="s">
        <v>115</v>
      </c>
      <c r="D61" s="13" t="s">
        <v>116</v>
      </c>
      <c r="E61" s="63">
        <f>0.3*(5*2+3*2)*E57</f>
        <v>4.8</v>
      </c>
      <c r="F61" s="65"/>
      <c r="G61" s="64"/>
      <c r="H61" s="64"/>
      <c r="I61" s="64"/>
      <c r="J61" s="64"/>
      <c r="K61" s="64"/>
      <c r="L61" s="64"/>
      <c r="M61" s="64"/>
      <c r="N61" s="64"/>
      <c r="O61" s="64"/>
      <c r="P61" s="64"/>
    </row>
    <row r="62" spans="1:18" x14ac:dyDescent="0.2">
      <c r="A62" s="80">
        <f>IF(D62="","",COUNTIF(B$13:$B62,"l.c"))</f>
        <v>36</v>
      </c>
      <c r="B62" s="80" t="str">
        <f t="shared" si="0"/>
        <v>l.c</v>
      </c>
      <c r="C62" s="14" t="s">
        <v>117</v>
      </c>
      <c r="D62" s="13" t="s">
        <v>93</v>
      </c>
      <c r="E62" s="63">
        <f>5*3*0.3*E57</f>
        <v>4.5</v>
      </c>
      <c r="F62" s="65"/>
      <c r="G62" s="64"/>
      <c r="H62" s="64"/>
      <c r="I62" s="64"/>
      <c r="J62" s="64"/>
      <c r="K62" s="64"/>
      <c r="L62" s="64"/>
      <c r="M62" s="64"/>
      <c r="N62" s="64"/>
      <c r="O62" s="64"/>
      <c r="P62" s="64"/>
      <c r="R62" s="1">
        <f>SUM(P59:P62)/E62</f>
        <v>0</v>
      </c>
    </row>
    <row r="63" spans="1:18" x14ac:dyDescent="0.2">
      <c r="A63" s="80" t="str">
        <f>IF(D63="","",COUNTIF(B$13:$B63,"l.c"))</f>
        <v/>
      </c>
      <c r="B63" s="80" t="str">
        <f t="shared" si="0"/>
        <v/>
      </c>
      <c r="C63" s="14"/>
      <c r="D63" s="13"/>
      <c r="E63" s="63"/>
      <c r="F63" s="65"/>
      <c r="G63" s="64"/>
      <c r="H63" s="64"/>
      <c r="I63" s="64"/>
      <c r="J63" s="64"/>
      <c r="K63" s="64"/>
      <c r="L63" s="64"/>
      <c r="M63" s="64"/>
      <c r="N63" s="64"/>
      <c r="O63" s="64"/>
      <c r="P63" s="64"/>
    </row>
    <row r="64" spans="1:18" x14ac:dyDescent="0.2">
      <c r="A64" s="80"/>
      <c r="B64" s="80"/>
      <c r="C64" s="81" t="s">
        <v>123</v>
      </c>
      <c r="D64" s="75" t="s">
        <v>65</v>
      </c>
      <c r="E64" s="82">
        <f>36.75</f>
        <v>36.75</v>
      </c>
      <c r="F64" s="65"/>
      <c r="G64" s="64"/>
      <c r="H64" s="64"/>
      <c r="I64" s="64"/>
      <c r="J64" s="64"/>
      <c r="K64" s="64"/>
      <c r="L64" s="64"/>
      <c r="M64" s="64"/>
      <c r="N64" s="64"/>
      <c r="O64" s="64"/>
      <c r="P64" s="64"/>
    </row>
    <row r="65" spans="1:18" x14ac:dyDescent="0.2">
      <c r="A65" s="80">
        <f>IF(D65="","",COUNTIF(B$13:$B65,"l.c"))</f>
        <v>37</v>
      </c>
      <c r="B65" s="80" t="str">
        <f t="shared" si="0"/>
        <v>l.c</v>
      </c>
      <c r="C65" s="83" t="s">
        <v>110</v>
      </c>
      <c r="D65" s="13" t="s">
        <v>93</v>
      </c>
      <c r="E65" s="63">
        <f>0.8*0.2*E64</f>
        <v>5.88</v>
      </c>
      <c r="F65" s="65"/>
      <c r="G65" s="64"/>
      <c r="H65" s="64"/>
      <c r="I65" s="64"/>
      <c r="J65" s="64"/>
      <c r="K65" s="64"/>
      <c r="L65" s="64"/>
      <c r="M65" s="64"/>
      <c r="N65" s="64"/>
      <c r="O65" s="64"/>
      <c r="P65" s="64"/>
    </row>
    <row r="66" spans="1:18" x14ac:dyDescent="0.2">
      <c r="A66" s="80">
        <f>IF(D66="","",COUNTIF(B$13:$B66,"l.c"))</f>
        <v>38</v>
      </c>
      <c r="B66" s="80" t="str">
        <f t="shared" si="0"/>
        <v>l.c</v>
      </c>
      <c r="C66" s="83" t="s">
        <v>111</v>
      </c>
      <c r="D66" s="13" t="s">
        <v>93</v>
      </c>
      <c r="E66" s="63">
        <f>E65*1.25</f>
        <v>7.35</v>
      </c>
      <c r="F66" s="65"/>
      <c r="G66" s="64"/>
      <c r="H66" s="64"/>
      <c r="I66" s="64"/>
      <c r="J66" s="64"/>
      <c r="K66" s="64"/>
      <c r="L66" s="64"/>
      <c r="M66" s="64"/>
      <c r="N66" s="64"/>
      <c r="O66" s="64"/>
      <c r="P66" s="64"/>
    </row>
    <row r="67" spans="1:18" x14ac:dyDescent="0.2">
      <c r="A67" s="80">
        <f>IF(D67="","",COUNTIF(B$13:$B67,"l.c"))</f>
        <v>39</v>
      </c>
      <c r="B67" s="80" t="str">
        <f t="shared" si="0"/>
        <v>l.c</v>
      </c>
      <c r="C67" s="14" t="s">
        <v>112</v>
      </c>
      <c r="D67" s="13" t="s">
        <v>113</v>
      </c>
      <c r="E67" s="84">
        <f>248.4*1.4</f>
        <v>347.76</v>
      </c>
      <c r="F67" s="65"/>
      <c r="G67" s="64"/>
      <c r="H67" s="64"/>
      <c r="I67" s="64"/>
      <c r="J67" s="64"/>
      <c r="K67" s="64"/>
      <c r="L67" s="64"/>
      <c r="M67" s="64"/>
      <c r="N67" s="64"/>
      <c r="O67" s="64"/>
      <c r="P67" s="64"/>
    </row>
    <row r="68" spans="1:18" x14ac:dyDescent="0.2">
      <c r="A68" s="80">
        <f>IF(D68="","",COUNTIF(B$13:$B68,"l.c"))</f>
        <v>40</v>
      </c>
      <c r="B68" s="80" t="str">
        <f t="shared" si="0"/>
        <v>l.c</v>
      </c>
      <c r="C68" s="14" t="s">
        <v>115</v>
      </c>
      <c r="D68" s="13" t="s">
        <v>116</v>
      </c>
      <c r="E68" s="63">
        <f>E64*2*0.3</f>
        <v>22.05</v>
      </c>
      <c r="F68" s="65"/>
      <c r="G68" s="64"/>
      <c r="H68" s="64"/>
      <c r="I68" s="64"/>
      <c r="J68" s="64"/>
      <c r="K68" s="64"/>
      <c r="L68" s="64"/>
      <c r="M68" s="64"/>
      <c r="N68" s="64"/>
      <c r="O68" s="64"/>
      <c r="P68" s="64"/>
    </row>
    <row r="69" spans="1:18" x14ac:dyDescent="0.2">
      <c r="A69" s="80">
        <f>IF(D69="","",COUNTIF(B$13:$B69,"l.c"))</f>
        <v>41</v>
      </c>
      <c r="B69" s="80" t="str">
        <f t="shared" si="0"/>
        <v>l.c</v>
      </c>
      <c r="C69" s="14" t="s">
        <v>117</v>
      </c>
      <c r="D69" s="13" t="s">
        <v>93</v>
      </c>
      <c r="E69" s="63">
        <f>E64*0.3*0.6</f>
        <v>6.62</v>
      </c>
      <c r="F69" s="65"/>
      <c r="G69" s="64"/>
      <c r="H69" s="64"/>
      <c r="I69" s="64"/>
      <c r="J69" s="64"/>
      <c r="K69" s="64"/>
      <c r="L69" s="64"/>
      <c r="M69" s="64"/>
      <c r="N69" s="64"/>
      <c r="O69" s="64"/>
      <c r="P69" s="64"/>
      <c r="R69" s="1">
        <f>SUM(P66:P69)/E69</f>
        <v>0</v>
      </c>
    </row>
    <row r="70" spans="1:18" x14ac:dyDescent="0.2">
      <c r="A70" s="80" t="str">
        <f>IF(D70="","",COUNTIF(B$13:$B70,"l.c"))</f>
        <v/>
      </c>
      <c r="B70" s="80" t="str">
        <f t="shared" si="0"/>
        <v/>
      </c>
      <c r="C70" s="85"/>
      <c r="D70" s="13"/>
      <c r="E70" s="63"/>
      <c r="F70" s="65"/>
      <c r="G70" s="64"/>
      <c r="H70" s="64"/>
      <c r="I70" s="64"/>
      <c r="J70" s="64"/>
      <c r="K70" s="64"/>
      <c r="L70" s="64"/>
      <c r="M70" s="64"/>
      <c r="N70" s="64"/>
      <c r="O70" s="64"/>
      <c r="P70" s="64"/>
    </row>
    <row r="71" spans="1:18" x14ac:dyDescent="0.2">
      <c r="A71" s="80" t="str">
        <f>IF(D71="","",COUNTIF(B$13:$B71,"l.c"))</f>
        <v/>
      </c>
      <c r="B71" s="80" t="str">
        <f t="shared" si="0"/>
        <v/>
      </c>
      <c r="C71" s="72" t="s">
        <v>124</v>
      </c>
      <c r="D71" s="13"/>
      <c r="E71" s="63"/>
      <c r="F71" s="65"/>
      <c r="G71" s="64"/>
      <c r="H71" s="64"/>
      <c r="I71" s="64"/>
      <c r="J71" s="64"/>
      <c r="K71" s="64"/>
      <c r="L71" s="64"/>
      <c r="M71" s="64"/>
      <c r="N71" s="64"/>
      <c r="O71" s="64"/>
      <c r="P71" s="64"/>
    </row>
    <row r="72" spans="1:18" ht="36" x14ac:dyDescent="0.2">
      <c r="A72" s="80">
        <f>IF(D72="","",COUNTIF(B$13:$B72,"l.c"))</f>
        <v>42</v>
      </c>
      <c r="B72" s="80" t="str">
        <f t="shared" si="0"/>
        <v>l.c</v>
      </c>
      <c r="C72" s="14" t="s">
        <v>125</v>
      </c>
      <c r="D72" s="13" t="s">
        <v>116</v>
      </c>
      <c r="E72" s="63">
        <v>15</v>
      </c>
      <c r="F72" s="65"/>
      <c r="G72" s="64"/>
      <c r="H72" s="64"/>
      <c r="I72" s="64"/>
      <c r="J72" s="64"/>
      <c r="K72" s="64"/>
      <c r="L72" s="64"/>
      <c r="M72" s="64"/>
      <c r="N72" s="64"/>
      <c r="O72" s="64"/>
      <c r="P72" s="64"/>
    </row>
    <row r="73" spans="1:18" ht="24" x14ac:dyDescent="0.2">
      <c r="A73" s="80">
        <f>IF(D73="","",COUNTIF(B$13:$B73,"l.c"))</f>
        <v>43</v>
      </c>
      <c r="B73" s="80" t="str">
        <f>IF(D73="","","l.c")</f>
        <v>l.c</v>
      </c>
      <c r="C73" s="14" t="s">
        <v>126</v>
      </c>
      <c r="D73" s="13" t="s">
        <v>116</v>
      </c>
      <c r="E73" s="63">
        <f>71</f>
        <v>71</v>
      </c>
      <c r="F73" s="65"/>
      <c r="G73" s="64"/>
      <c r="H73" s="64"/>
      <c r="I73" s="64"/>
      <c r="J73" s="64"/>
      <c r="K73" s="64"/>
      <c r="L73" s="64"/>
      <c r="M73" s="64"/>
      <c r="N73" s="64"/>
      <c r="O73" s="64"/>
      <c r="P73" s="64"/>
    </row>
    <row r="74" spans="1:18" ht="24" x14ac:dyDescent="0.2">
      <c r="A74" s="80">
        <f>IF(D74="","",COUNTIF(B$13:$B74,"l.c"))</f>
        <v>44</v>
      </c>
      <c r="B74" s="80" t="str">
        <f t="shared" si="0"/>
        <v>l.c</v>
      </c>
      <c r="C74" s="14" t="s">
        <v>127</v>
      </c>
      <c r="D74" s="13" t="s">
        <v>65</v>
      </c>
      <c r="E74" s="63">
        <f>158.6-0.9*2-2*3.94-2*3.44-2*2.8-2.2</f>
        <v>134.24</v>
      </c>
      <c r="F74" s="65"/>
      <c r="G74" s="64"/>
      <c r="H74" s="64"/>
      <c r="I74" s="64"/>
      <c r="J74" s="64"/>
      <c r="K74" s="64"/>
      <c r="L74" s="64"/>
      <c r="M74" s="64"/>
      <c r="N74" s="64"/>
      <c r="O74" s="64"/>
      <c r="P74" s="64"/>
    </row>
    <row r="75" spans="1:18" x14ac:dyDescent="0.2">
      <c r="A75" s="80">
        <f>IF(D75="","",COUNTIF(B$13:$B75,"l.c"))</f>
        <v>45</v>
      </c>
      <c r="B75" s="80" t="str">
        <f t="shared" si="0"/>
        <v>l.c</v>
      </c>
      <c r="C75" s="14" t="s">
        <v>128</v>
      </c>
      <c r="D75" s="13" t="s">
        <v>65</v>
      </c>
      <c r="E75" s="63">
        <f>E74</f>
        <v>134.24</v>
      </c>
      <c r="F75" s="65"/>
      <c r="G75" s="64"/>
      <c r="H75" s="64"/>
      <c r="I75" s="64"/>
      <c r="J75" s="64"/>
      <c r="K75" s="64"/>
      <c r="L75" s="64"/>
      <c r="M75" s="64"/>
      <c r="N75" s="64"/>
      <c r="O75" s="64"/>
      <c r="P75" s="64"/>
    </row>
    <row r="76" spans="1:18" x14ac:dyDescent="0.2">
      <c r="A76" s="80" t="str">
        <f>IF(D76="","",COUNTIF(B$13:$B76,"l.c"))</f>
        <v/>
      </c>
      <c r="B76" s="80" t="str">
        <f t="shared" si="0"/>
        <v/>
      </c>
      <c r="C76" s="14"/>
      <c r="D76" s="13"/>
      <c r="E76" s="63"/>
      <c r="F76" s="65"/>
      <c r="G76" s="64"/>
      <c r="H76" s="64"/>
      <c r="I76" s="64"/>
      <c r="J76" s="64"/>
      <c r="K76" s="64"/>
      <c r="L76" s="64"/>
      <c r="M76" s="64"/>
      <c r="N76" s="64"/>
      <c r="O76" s="64"/>
      <c r="P76" s="64"/>
    </row>
    <row r="77" spans="1:18" x14ac:dyDescent="0.2">
      <c r="A77" s="80" t="str">
        <f>IF(D77="","",COUNTIF(B$13:$B77,"l.c"))</f>
        <v/>
      </c>
      <c r="B77" s="80" t="str">
        <f t="shared" si="0"/>
        <v/>
      </c>
      <c r="C77" s="75" t="s">
        <v>129</v>
      </c>
      <c r="D77" s="13"/>
      <c r="E77" s="63"/>
      <c r="F77" s="65"/>
      <c r="G77" s="64"/>
      <c r="H77" s="64"/>
      <c r="I77" s="64"/>
      <c r="J77" s="64"/>
      <c r="K77" s="64"/>
      <c r="L77" s="64"/>
      <c r="M77" s="64"/>
      <c r="N77" s="64"/>
      <c r="O77" s="64"/>
      <c r="P77" s="64"/>
    </row>
    <row r="78" spans="1:18" x14ac:dyDescent="0.2">
      <c r="A78" s="80">
        <f>IF(D78="","",COUNTIF(B$13:$B78,"l.c"))</f>
        <v>46</v>
      </c>
      <c r="B78" s="80" t="str">
        <f t="shared" ref="B78:B128" si="2">IF(D78="","","l.c")</f>
        <v>l.c</v>
      </c>
      <c r="C78" s="14" t="s">
        <v>130</v>
      </c>
      <c r="D78" s="13" t="s">
        <v>116</v>
      </c>
      <c r="E78" s="63">
        <f>158.6*1</f>
        <v>158.6</v>
      </c>
      <c r="F78" s="65"/>
      <c r="G78" s="64"/>
      <c r="H78" s="64"/>
      <c r="I78" s="64"/>
      <c r="J78" s="64"/>
      <c r="K78" s="64"/>
      <c r="L78" s="64"/>
      <c r="M78" s="64"/>
      <c r="N78" s="64"/>
      <c r="O78" s="64"/>
      <c r="P78" s="64"/>
    </row>
    <row r="79" spans="1:18" ht="24" x14ac:dyDescent="0.2">
      <c r="A79" s="80">
        <f>IF(D79="","",COUNTIF(B$13:$B79,"l.c"))</f>
        <v>47</v>
      </c>
      <c r="B79" s="80" t="str">
        <f t="shared" si="2"/>
        <v>l.c</v>
      </c>
      <c r="C79" s="14" t="s">
        <v>131</v>
      </c>
      <c r="D79" s="13" t="s">
        <v>116</v>
      </c>
      <c r="E79" s="63">
        <f>E78</f>
        <v>158.6</v>
      </c>
      <c r="F79" s="65"/>
      <c r="G79" s="64"/>
      <c r="H79" s="64"/>
      <c r="I79" s="64"/>
      <c r="J79" s="64"/>
      <c r="K79" s="64"/>
      <c r="L79" s="64"/>
      <c r="M79" s="64"/>
      <c r="N79" s="64"/>
      <c r="O79" s="64"/>
      <c r="P79" s="64"/>
    </row>
    <row r="80" spans="1:18" ht="24" x14ac:dyDescent="0.2">
      <c r="A80" s="80">
        <f>IF(D80="","",COUNTIF(B$13:$B80,"l.c"))</f>
        <v>48</v>
      </c>
      <c r="B80" s="80" t="str">
        <f t="shared" si="2"/>
        <v>l.c</v>
      </c>
      <c r="C80" s="14" t="s">
        <v>132</v>
      </c>
      <c r="D80" s="13" t="s">
        <v>93</v>
      </c>
      <c r="E80" s="63">
        <f>E78*0.2</f>
        <v>31.72</v>
      </c>
      <c r="F80" s="65"/>
      <c r="G80" s="64"/>
      <c r="H80" s="64"/>
      <c r="I80" s="64"/>
      <c r="J80" s="64"/>
      <c r="K80" s="64"/>
      <c r="L80" s="64"/>
      <c r="M80" s="64"/>
      <c r="N80" s="64"/>
      <c r="O80" s="64"/>
      <c r="P80" s="64"/>
    </row>
    <row r="81" spans="1:18" x14ac:dyDescent="0.2">
      <c r="A81" s="80">
        <f>IF(D81="","",COUNTIF(B$13:$B81,"l.c"))</f>
        <v>49</v>
      </c>
      <c r="B81" s="80" t="str">
        <f t="shared" si="2"/>
        <v>l.c</v>
      </c>
      <c r="C81" s="14" t="s">
        <v>133</v>
      </c>
      <c r="D81" s="13" t="s">
        <v>93</v>
      </c>
      <c r="E81" s="63">
        <f>E78*0.1</f>
        <v>15.86</v>
      </c>
      <c r="F81" s="65"/>
      <c r="G81" s="64"/>
      <c r="H81" s="64"/>
      <c r="I81" s="64"/>
      <c r="J81" s="64"/>
      <c r="K81" s="64"/>
      <c r="L81" s="64"/>
      <c r="M81" s="64"/>
      <c r="N81" s="64"/>
      <c r="O81" s="64"/>
      <c r="P81" s="64"/>
    </row>
    <row r="82" spans="1:18" x14ac:dyDescent="0.2">
      <c r="A82" s="80"/>
      <c r="B82" s="80"/>
      <c r="C82" s="14"/>
      <c r="D82" s="13"/>
      <c r="E82" s="63"/>
      <c r="F82" s="65"/>
      <c r="G82" s="64"/>
      <c r="H82" s="64"/>
      <c r="I82" s="64"/>
      <c r="J82" s="64"/>
      <c r="K82" s="64"/>
      <c r="L82" s="64"/>
      <c r="M82" s="64"/>
      <c r="N82" s="64"/>
      <c r="O82" s="64"/>
      <c r="P82" s="64"/>
    </row>
    <row r="83" spans="1:18" x14ac:dyDescent="0.2">
      <c r="A83" s="80" t="str">
        <f>IF(D83="","",COUNTIF(B$13:$B83,"l.c"))</f>
        <v/>
      </c>
      <c r="B83" s="80" t="str">
        <f t="shared" si="2"/>
        <v/>
      </c>
      <c r="C83" s="76" t="s">
        <v>134</v>
      </c>
      <c r="D83" s="13"/>
      <c r="E83" s="63"/>
      <c r="F83" s="65"/>
      <c r="G83" s="64"/>
      <c r="H83" s="64"/>
      <c r="I83" s="64"/>
      <c r="J83" s="64"/>
      <c r="K83" s="64"/>
      <c r="L83" s="64"/>
      <c r="M83" s="64"/>
      <c r="N83" s="64"/>
      <c r="O83" s="64"/>
      <c r="P83" s="64"/>
    </row>
    <row r="84" spans="1:18" x14ac:dyDescent="0.2">
      <c r="A84" s="80">
        <f>IF(D84="","",COUNTIF(B$13:$B84,"l.c"))</f>
        <v>50</v>
      </c>
      <c r="B84" s="80" t="str">
        <f t="shared" si="2"/>
        <v>l.c</v>
      </c>
      <c r="C84" s="14" t="s">
        <v>135</v>
      </c>
      <c r="D84" s="13" t="s">
        <v>107</v>
      </c>
      <c r="E84" s="63">
        <v>1</v>
      </c>
      <c r="F84" s="65"/>
      <c r="G84" s="64"/>
      <c r="H84" s="64"/>
      <c r="I84" s="64"/>
      <c r="J84" s="64"/>
      <c r="K84" s="64"/>
      <c r="L84" s="64"/>
      <c r="M84" s="64"/>
      <c r="N84" s="64"/>
      <c r="O84" s="64"/>
      <c r="P84" s="64"/>
    </row>
    <row r="85" spans="1:18" ht="36" x14ac:dyDescent="0.2">
      <c r="A85" s="80">
        <f>IF(D85="","",COUNTIF(B$13:$B85,"l.c"))</f>
        <v>51</v>
      </c>
      <c r="B85" s="80" t="str">
        <f t="shared" si="2"/>
        <v>l.c</v>
      </c>
      <c r="C85" s="14" t="s">
        <v>136</v>
      </c>
      <c r="D85" s="13" t="s">
        <v>113</v>
      </c>
      <c r="E85" s="63">
        <f>(6304.14+(0.24+0.3+0.17+0.06+0.06)*1000)*1.2</f>
        <v>8560.9699999999993</v>
      </c>
      <c r="F85" s="65"/>
      <c r="G85" s="64"/>
      <c r="H85" s="64"/>
      <c r="I85" s="64"/>
      <c r="J85" s="64"/>
      <c r="K85" s="64"/>
      <c r="L85" s="64"/>
      <c r="M85" s="64"/>
      <c r="N85" s="64"/>
      <c r="O85" s="64"/>
      <c r="P85" s="64"/>
      <c r="R85" s="86"/>
    </row>
    <row r="86" spans="1:18" ht="36" x14ac:dyDescent="0.2">
      <c r="A86" s="80">
        <f>IF(D86="","",COUNTIF(B$13:$B86,"l.c"))</f>
        <v>52</v>
      </c>
      <c r="B86" s="80" t="str">
        <f t="shared" si="2"/>
        <v>l.c</v>
      </c>
      <c r="C86" s="14" t="s">
        <v>137</v>
      </c>
      <c r="D86" s="13" t="s">
        <v>113</v>
      </c>
      <c r="E86" s="63">
        <f>E85</f>
        <v>8560.9699999999993</v>
      </c>
      <c r="F86" s="65"/>
      <c r="G86" s="64"/>
      <c r="H86" s="64"/>
      <c r="I86" s="64"/>
      <c r="J86" s="64"/>
      <c r="K86" s="64"/>
      <c r="L86" s="64"/>
      <c r="M86" s="64"/>
      <c r="N86" s="64"/>
      <c r="O86" s="64"/>
      <c r="P86" s="64"/>
      <c r="R86" s="86"/>
    </row>
    <row r="87" spans="1:18" ht="33" customHeight="1" x14ac:dyDescent="0.2">
      <c r="A87" s="80">
        <f>IF(D87="","",COUNTIF(B$13:$B87,"l.c"))</f>
        <v>53</v>
      </c>
      <c r="B87" s="80" t="str">
        <f t="shared" si="2"/>
        <v>l.c</v>
      </c>
      <c r="C87" s="14" t="s">
        <v>138</v>
      </c>
      <c r="D87" s="13" t="s">
        <v>107</v>
      </c>
      <c r="E87" s="63">
        <v>1</v>
      </c>
      <c r="F87" s="65"/>
      <c r="G87" s="64"/>
      <c r="H87" s="64"/>
      <c r="I87" s="64"/>
      <c r="J87" s="64"/>
      <c r="K87" s="64"/>
      <c r="L87" s="64"/>
      <c r="M87" s="64"/>
      <c r="N87" s="64"/>
      <c r="O87" s="64"/>
      <c r="P87" s="64"/>
      <c r="R87" s="1">
        <f>SUM(P84:P87)/E85</f>
        <v>0</v>
      </c>
    </row>
    <row r="88" spans="1:18" ht="36" x14ac:dyDescent="0.2">
      <c r="A88" s="80">
        <f>IF(D88="","",COUNTIF(B$13:$B88,"l.c"))</f>
        <v>54</v>
      </c>
      <c r="B88" s="80" t="str">
        <f t="shared" si="2"/>
        <v>l.c</v>
      </c>
      <c r="C88" s="14" t="s">
        <v>139</v>
      </c>
      <c r="D88" s="13" t="s">
        <v>107</v>
      </c>
      <c r="E88" s="63">
        <v>1</v>
      </c>
      <c r="F88" s="65"/>
      <c r="G88" s="64"/>
      <c r="H88" s="64"/>
      <c r="I88" s="64"/>
      <c r="J88" s="64"/>
      <c r="K88" s="64"/>
      <c r="L88" s="64"/>
      <c r="M88" s="64"/>
      <c r="N88" s="64"/>
      <c r="O88" s="64"/>
      <c r="P88" s="64"/>
    </row>
    <row r="89" spans="1:18" ht="24" x14ac:dyDescent="0.2">
      <c r="A89" s="80">
        <f>IF(D89="","",COUNTIF(B$13:$B89,"l.c"))</f>
        <v>55</v>
      </c>
      <c r="B89" s="80" t="str">
        <f t="shared" si="2"/>
        <v>l.c</v>
      </c>
      <c r="C89" s="14" t="s">
        <v>140</v>
      </c>
      <c r="D89" s="13" t="s">
        <v>109</v>
      </c>
      <c r="E89" s="63">
        <v>51</v>
      </c>
      <c r="F89" s="65"/>
      <c r="G89" s="64"/>
      <c r="H89" s="64"/>
      <c r="I89" s="64"/>
      <c r="J89" s="64"/>
      <c r="K89" s="64"/>
      <c r="L89" s="64"/>
      <c r="M89" s="64"/>
      <c r="N89" s="64"/>
      <c r="O89" s="64"/>
      <c r="P89" s="64"/>
    </row>
    <row r="90" spans="1:18" ht="24" x14ac:dyDescent="0.2">
      <c r="A90" s="80">
        <f>IF(D90="","",COUNTIF(B$13:$B90,"l.c"))</f>
        <v>56</v>
      </c>
      <c r="B90" s="80" t="str">
        <f>IF(D90="","","l.c")</f>
        <v>l.c</v>
      </c>
      <c r="C90" s="14" t="s">
        <v>141</v>
      </c>
      <c r="D90" s="13" t="s">
        <v>65</v>
      </c>
      <c r="E90" s="63">
        <f>111.92+41.6+33.078+56.2+22.23+5.247+5.195+6.48+7.72+11.948+13.746</f>
        <v>315.36</v>
      </c>
      <c r="F90" s="65"/>
      <c r="G90" s="64"/>
      <c r="H90" s="64"/>
      <c r="I90" s="64"/>
      <c r="J90" s="64"/>
      <c r="K90" s="64"/>
      <c r="L90" s="64"/>
      <c r="M90" s="64"/>
      <c r="N90" s="64"/>
      <c r="O90" s="64"/>
      <c r="P90" s="64"/>
    </row>
    <row r="91" spans="1:18" x14ac:dyDescent="0.2">
      <c r="A91" s="80" t="str">
        <f>IF(D91="","",COUNTIF(B$13:$B91,"l.c"))</f>
        <v/>
      </c>
      <c r="B91" s="80" t="str">
        <f t="shared" si="2"/>
        <v/>
      </c>
      <c r="C91" s="14"/>
      <c r="D91" s="13"/>
      <c r="E91" s="63"/>
      <c r="F91" s="65"/>
      <c r="G91" s="64"/>
      <c r="H91" s="64"/>
      <c r="I91" s="64"/>
      <c r="J91" s="64"/>
      <c r="K91" s="64"/>
      <c r="L91" s="64"/>
      <c r="M91" s="64"/>
      <c r="N91" s="64"/>
      <c r="O91" s="64"/>
      <c r="P91" s="64"/>
    </row>
    <row r="92" spans="1:18" x14ac:dyDescent="0.2">
      <c r="A92" s="80" t="str">
        <f>IF(D92="","",COUNTIF(B$13:$B92,"l.c"))</f>
        <v/>
      </c>
      <c r="B92" s="80" t="str">
        <f t="shared" si="2"/>
        <v/>
      </c>
      <c r="C92" s="76" t="s">
        <v>142</v>
      </c>
      <c r="D92" s="13"/>
      <c r="E92" s="63"/>
      <c r="F92" s="65"/>
      <c r="G92" s="64"/>
      <c r="H92" s="64">
        <f t="shared" ref="H92:H118" si="3">ROUND(F92*G92,2)</f>
        <v>0</v>
      </c>
      <c r="I92" s="64">
        <v>0</v>
      </c>
      <c r="J92" s="64"/>
      <c r="K92" s="64">
        <f t="shared" ref="K92:K118" si="4">SUM(H92:J92)</f>
        <v>0</v>
      </c>
      <c r="L92" s="64">
        <f t="shared" ref="L92:L118" si="5">ROUND(E92*F92,2)</f>
        <v>0</v>
      </c>
      <c r="M92" s="64">
        <f t="shared" ref="M92:M118" si="6">ROUND(E92*H92,2)</f>
        <v>0</v>
      </c>
      <c r="N92" s="64">
        <f t="shared" ref="N92:N118" si="7">ROUND(E92*I92,2)</f>
        <v>0</v>
      </c>
      <c r="O92" s="64">
        <f t="shared" ref="O92:O118" si="8">ROUND(E92*J92,2)</f>
        <v>0</v>
      </c>
      <c r="P92" s="64">
        <f t="shared" ref="P92:P118" si="9">SUM(M92:O92)</f>
        <v>0</v>
      </c>
    </row>
    <row r="93" spans="1:18" x14ac:dyDescent="0.2">
      <c r="A93" s="80" t="str">
        <f>IF(D93="","",COUNTIF(B$13:$B93,"l.c"))</f>
        <v/>
      </c>
      <c r="B93" s="80" t="str">
        <f t="shared" si="2"/>
        <v/>
      </c>
      <c r="C93" s="76" t="s">
        <v>143</v>
      </c>
      <c r="D93" s="13"/>
      <c r="E93" s="63"/>
      <c r="F93" s="65"/>
      <c r="G93" s="64"/>
      <c r="H93" s="64">
        <f t="shared" si="3"/>
        <v>0</v>
      </c>
      <c r="I93" s="64">
        <v>0</v>
      </c>
      <c r="J93" s="64"/>
      <c r="K93" s="64">
        <f t="shared" si="4"/>
        <v>0</v>
      </c>
      <c r="L93" s="64">
        <f t="shared" si="5"/>
        <v>0</v>
      </c>
      <c r="M93" s="64">
        <f t="shared" si="6"/>
        <v>0</v>
      </c>
      <c r="N93" s="64">
        <f t="shared" si="7"/>
        <v>0</v>
      </c>
      <c r="O93" s="64">
        <f t="shared" si="8"/>
        <v>0</v>
      </c>
      <c r="P93" s="64">
        <f t="shared" si="9"/>
        <v>0</v>
      </c>
    </row>
    <row r="94" spans="1:18" ht="24" x14ac:dyDescent="0.2">
      <c r="A94" s="80">
        <f>IF(D94="","",COUNTIF(B$13:$B94,"l.c"))</f>
        <v>57</v>
      </c>
      <c r="B94" s="80" t="str">
        <f t="shared" ref="B94:B95" si="10">IF(D94="","","l.c")</f>
        <v>l.c</v>
      </c>
      <c r="C94" s="14" t="s">
        <v>144</v>
      </c>
      <c r="D94" s="13" t="s">
        <v>93</v>
      </c>
      <c r="E94" s="63">
        <f>0.82+0.82+2.73+2.73</f>
        <v>7.1</v>
      </c>
      <c r="F94" s="65"/>
      <c r="G94" s="64"/>
      <c r="H94" s="64"/>
      <c r="I94" s="64"/>
      <c r="J94" s="64"/>
      <c r="K94" s="64"/>
      <c r="L94" s="64"/>
      <c r="M94" s="64"/>
      <c r="N94" s="64"/>
      <c r="O94" s="64"/>
      <c r="P94" s="64"/>
    </row>
    <row r="95" spans="1:18" ht="24" x14ac:dyDescent="0.2">
      <c r="A95" s="80">
        <f>IF(D95="","",COUNTIF(B$13:$B95,"l.c"))</f>
        <v>58</v>
      </c>
      <c r="B95" s="80" t="str">
        <f t="shared" si="10"/>
        <v>l.c</v>
      </c>
      <c r="C95" s="14" t="s">
        <v>145</v>
      </c>
      <c r="D95" s="13" t="s">
        <v>93</v>
      </c>
      <c r="E95" s="63">
        <f>0.55+0.55+0.55+1.65+1.65+0.59+0.67+0.3</f>
        <v>6.51</v>
      </c>
      <c r="F95" s="65"/>
      <c r="G95" s="64"/>
      <c r="H95" s="64"/>
      <c r="I95" s="64"/>
      <c r="J95" s="64"/>
      <c r="K95" s="64"/>
      <c r="L95" s="64"/>
      <c r="M95" s="64"/>
      <c r="N95" s="64"/>
      <c r="O95" s="64"/>
      <c r="P95" s="64"/>
      <c r="R95" s="86"/>
    </row>
    <row r="96" spans="1:18" ht="24" x14ac:dyDescent="0.2">
      <c r="A96" s="80">
        <f>IF(D96="","",COUNTIF(B$13:$B96,"l.c"))</f>
        <v>59</v>
      </c>
      <c r="B96" s="80" t="str">
        <f t="shared" si="2"/>
        <v>l.c</v>
      </c>
      <c r="C96" s="14" t="s">
        <v>146</v>
      </c>
      <c r="D96" s="13" t="s">
        <v>93</v>
      </c>
      <c r="E96" s="63">
        <f>E94+E95</f>
        <v>13.61</v>
      </c>
      <c r="F96" s="65"/>
      <c r="G96" s="64"/>
      <c r="H96" s="64"/>
      <c r="I96" s="64"/>
      <c r="J96" s="64"/>
      <c r="K96" s="64"/>
      <c r="L96" s="64"/>
      <c r="M96" s="64"/>
      <c r="N96" s="64"/>
      <c r="O96" s="64"/>
      <c r="P96" s="64"/>
    </row>
    <row r="97" spans="1:16" ht="24" x14ac:dyDescent="0.2">
      <c r="A97" s="80">
        <f>IF(D97="","",COUNTIF(B$13:$B97,"l.c"))</f>
        <v>60</v>
      </c>
      <c r="B97" s="80" t="str">
        <f t="shared" si="2"/>
        <v>l.c</v>
      </c>
      <c r="C97" s="14" t="s">
        <v>147</v>
      </c>
      <c r="D97" s="13" t="s">
        <v>109</v>
      </c>
      <c r="E97" s="63">
        <v>18</v>
      </c>
      <c r="F97" s="65"/>
      <c r="G97" s="64"/>
      <c r="H97" s="64"/>
      <c r="I97" s="64"/>
      <c r="J97" s="64"/>
      <c r="K97" s="64"/>
      <c r="L97" s="64"/>
      <c r="M97" s="64"/>
      <c r="N97" s="64"/>
      <c r="O97" s="64"/>
      <c r="P97" s="64"/>
    </row>
    <row r="98" spans="1:16" x14ac:dyDescent="0.2">
      <c r="A98" s="80" t="str">
        <f>IF(D98="","",COUNTIF(B$13:$B98,"l.c"))</f>
        <v/>
      </c>
      <c r="B98" s="80" t="str">
        <f t="shared" si="2"/>
        <v/>
      </c>
      <c r="C98" s="75" t="s">
        <v>148</v>
      </c>
      <c r="D98" s="13"/>
      <c r="E98" s="63"/>
      <c r="F98" s="65"/>
      <c r="G98" s="64"/>
      <c r="H98" s="64"/>
      <c r="I98" s="64"/>
      <c r="J98" s="64"/>
      <c r="K98" s="64"/>
      <c r="L98" s="64"/>
      <c r="M98" s="64"/>
      <c r="N98" s="64"/>
      <c r="O98" s="64"/>
      <c r="P98" s="64"/>
    </row>
    <row r="99" spans="1:16" ht="24" x14ac:dyDescent="0.2">
      <c r="A99" s="80">
        <f>IF(D99="","",COUNTIF(B$13:$B99,"l.c"))</f>
        <v>61</v>
      </c>
      <c r="B99" s="80" t="str">
        <f t="shared" si="2"/>
        <v>l.c</v>
      </c>
      <c r="C99" s="14" t="s">
        <v>149</v>
      </c>
      <c r="D99" s="13" t="s">
        <v>93</v>
      </c>
      <c r="E99" s="63">
        <v>14.14</v>
      </c>
      <c r="F99" s="65"/>
      <c r="G99" s="64"/>
      <c r="H99" s="64"/>
      <c r="I99" s="64"/>
      <c r="J99" s="64"/>
      <c r="K99" s="64"/>
      <c r="L99" s="64"/>
      <c r="M99" s="64"/>
      <c r="N99" s="64"/>
      <c r="O99" s="64"/>
      <c r="P99" s="64"/>
    </row>
    <row r="100" spans="1:16" ht="24" x14ac:dyDescent="0.2">
      <c r="A100" s="80">
        <f>IF(D100="","",COUNTIF(B$13:$B100,"l.c"))</f>
        <v>62</v>
      </c>
      <c r="B100" s="80" t="str">
        <f>IF(D100="","","l.c")</f>
        <v>l.c</v>
      </c>
      <c r="C100" s="14" t="s">
        <v>150</v>
      </c>
      <c r="D100" s="13" t="s">
        <v>93</v>
      </c>
      <c r="E100" s="63">
        <f>1.86+4.42</f>
        <v>6.28</v>
      </c>
      <c r="F100" s="65"/>
      <c r="G100" s="64"/>
      <c r="H100" s="64"/>
      <c r="I100" s="64"/>
      <c r="J100" s="64"/>
      <c r="K100" s="64"/>
      <c r="L100" s="64"/>
      <c r="M100" s="64"/>
      <c r="N100" s="64"/>
      <c r="O100" s="64"/>
      <c r="P100" s="64"/>
    </row>
    <row r="101" spans="1:16" ht="24" x14ac:dyDescent="0.2">
      <c r="A101" s="80">
        <f>IF(D101="","",COUNTIF(B$13:$B101,"l.c"))</f>
        <v>63</v>
      </c>
      <c r="B101" s="80" t="str">
        <f>IF(D101="","","l.c")</f>
        <v>l.c</v>
      </c>
      <c r="C101" s="14" t="s">
        <v>151</v>
      </c>
      <c r="D101" s="13" t="s">
        <v>93</v>
      </c>
      <c r="E101" s="63">
        <f>1.31</f>
        <v>1.31</v>
      </c>
      <c r="F101" s="65"/>
      <c r="G101" s="64"/>
      <c r="H101" s="64"/>
      <c r="I101" s="64"/>
      <c r="J101" s="64"/>
      <c r="K101" s="64"/>
      <c r="L101" s="64"/>
      <c r="M101" s="64"/>
      <c r="N101" s="64"/>
      <c r="O101" s="64"/>
      <c r="P101" s="64"/>
    </row>
    <row r="102" spans="1:16" x14ac:dyDescent="0.2">
      <c r="A102" s="80">
        <f>IF(D102="","",COUNTIF(B$13:$B102,"l.c"))</f>
        <v>64</v>
      </c>
      <c r="B102" s="80" t="str">
        <f t="shared" si="2"/>
        <v>l.c</v>
      </c>
      <c r="C102" s="14" t="s">
        <v>152</v>
      </c>
      <c r="D102" s="13" t="s">
        <v>93</v>
      </c>
      <c r="E102" s="63">
        <f>SUM(E99:E101)</f>
        <v>21.73</v>
      </c>
      <c r="F102" s="65"/>
      <c r="G102" s="64"/>
      <c r="H102" s="64"/>
      <c r="I102" s="64"/>
      <c r="J102" s="64"/>
      <c r="K102" s="64"/>
      <c r="L102" s="64"/>
      <c r="M102" s="64"/>
      <c r="N102" s="64"/>
      <c r="O102" s="64"/>
      <c r="P102" s="64"/>
    </row>
    <row r="103" spans="1:16" ht="24" x14ac:dyDescent="0.2">
      <c r="A103" s="80">
        <f>IF(D103="","",COUNTIF(B$13:$B103,"l.c"))</f>
        <v>65</v>
      </c>
      <c r="B103" s="80" t="str">
        <f t="shared" si="2"/>
        <v>l.c</v>
      </c>
      <c r="C103" s="14" t="s">
        <v>153</v>
      </c>
      <c r="D103" s="13" t="s">
        <v>109</v>
      </c>
      <c r="E103" s="63">
        <f>162+16+38+8</f>
        <v>224</v>
      </c>
      <c r="F103" s="65"/>
      <c r="G103" s="64"/>
      <c r="H103" s="64"/>
      <c r="I103" s="64"/>
      <c r="J103" s="64"/>
      <c r="K103" s="64"/>
      <c r="L103" s="64"/>
      <c r="M103" s="64"/>
      <c r="N103" s="64"/>
      <c r="O103" s="64"/>
      <c r="P103" s="64"/>
    </row>
    <row r="104" spans="1:16" x14ac:dyDescent="0.2">
      <c r="A104" s="80" t="str">
        <f>IF(D104="","",COUNTIF(B$13:$B104,"l.c"))</f>
        <v/>
      </c>
      <c r="B104" s="80" t="str">
        <f t="shared" si="2"/>
        <v/>
      </c>
      <c r="C104" s="75" t="s">
        <v>154</v>
      </c>
      <c r="D104" s="13"/>
      <c r="E104" s="63"/>
      <c r="F104" s="65"/>
      <c r="G104" s="64"/>
      <c r="H104" s="64"/>
      <c r="I104" s="64"/>
      <c r="J104" s="64"/>
      <c r="K104" s="64"/>
      <c r="L104" s="64"/>
      <c r="M104" s="64"/>
      <c r="N104" s="64"/>
      <c r="O104" s="64"/>
      <c r="P104" s="64"/>
    </row>
    <row r="105" spans="1:16" x14ac:dyDescent="0.2">
      <c r="A105" s="80">
        <f>IF(D105="","",COUNTIF(B$13:$B105,"l.c"))</f>
        <v>66</v>
      </c>
      <c r="B105" s="80" t="str">
        <f t="shared" si="2"/>
        <v>l.c</v>
      </c>
      <c r="C105" s="14" t="s">
        <v>155</v>
      </c>
      <c r="D105" s="13" t="s">
        <v>93</v>
      </c>
      <c r="E105" s="63">
        <f>2.4+4.8</f>
        <v>7.2</v>
      </c>
      <c r="F105" s="65"/>
      <c r="G105" s="64"/>
      <c r="H105" s="64"/>
      <c r="I105" s="64"/>
      <c r="J105" s="64"/>
      <c r="K105" s="64"/>
      <c r="L105" s="64"/>
      <c r="M105" s="64"/>
      <c r="N105" s="64"/>
      <c r="O105" s="64"/>
      <c r="P105" s="64"/>
    </row>
    <row r="106" spans="1:16" ht="24" x14ac:dyDescent="0.2">
      <c r="A106" s="80">
        <f>IF(D106="","",COUNTIF(B$13:$B106,"l.c"))</f>
        <v>67</v>
      </c>
      <c r="B106" s="80" t="str">
        <f t="shared" si="2"/>
        <v>l.c</v>
      </c>
      <c r="C106" s="14" t="s">
        <v>156</v>
      </c>
      <c r="D106" s="13" t="s">
        <v>93</v>
      </c>
      <c r="E106" s="63">
        <f>E105</f>
        <v>7.2</v>
      </c>
      <c r="F106" s="65"/>
      <c r="G106" s="64"/>
      <c r="H106" s="64"/>
      <c r="I106" s="64"/>
      <c r="J106" s="64"/>
      <c r="K106" s="64"/>
      <c r="L106" s="64"/>
      <c r="M106" s="64"/>
      <c r="N106" s="64"/>
      <c r="O106" s="64"/>
      <c r="P106" s="64"/>
    </row>
    <row r="107" spans="1:16" x14ac:dyDescent="0.2">
      <c r="A107" s="80">
        <f>IF(D107="","",COUNTIF(B$13:$B107,"l.c"))</f>
        <v>68</v>
      </c>
      <c r="B107" s="80" t="str">
        <f t="shared" si="2"/>
        <v>l.c</v>
      </c>
      <c r="C107" s="14" t="s">
        <v>157</v>
      </c>
      <c r="D107" s="13" t="str">
        <f>D105</f>
        <v>m3</v>
      </c>
      <c r="E107" s="63">
        <f>E105</f>
        <v>7.2</v>
      </c>
      <c r="F107" s="65"/>
      <c r="G107" s="64"/>
      <c r="H107" s="64"/>
      <c r="I107" s="64"/>
      <c r="J107" s="64"/>
      <c r="K107" s="64"/>
      <c r="L107" s="64"/>
      <c r="M107" s="64"/>
      <c r="N107" s="64"/>
      <c r="O107" s="64"/>
      <c r="P107" s="64"/>
    </row>
    <row r="108" spans="1:16" x14ac:dyDescent="0.2">
      <c r="A108" s="80" t="str">
        <f>IF(D108="","",COUNTIF(B$13:$B108,"l.c"))</f>
        <v/>
      </c>
      <c r="B108" s="80" t="str">
        <f t="shared" si="2"/>
        <v/>
      </c>
      <c r="C108" s="75" t="s">
        <v>158</v>
      </c>
      <c r="D108" s="13"/>
      <c r="E108" s="63"/>
      <c r="F108" s="65"/>
      <c r="G108" s="64"/>
      <c r="H108" s="64"/>
      <c r="I108" s="64"/>
      <c r="J108" s="64"/>
      <c r="K108" s="64"/>
      <c r="L108" s="64"/>
      <c r="M108" s="64"/>
      <c r="N108" s="64"/>
      <c r="O108" s="64"/>
      <c r="P108" s="64"/>
    </row>
    <row r="109" spans="1:16" ht="24" x14ac:dyDescent="0.2">
      <c r="A109" s="80">
        <f>IF(D109="","",COUNTIF(B$13:$B109,"l.c"))</f>
        <v>69</v>
      </c>
      <c r="B109" s="80" t="str">
        <f t="shared" si="2"/>
        <v>l.c</v>
      </c>
      <c r="C109" s="14" t="s">
        <v>159</v>
      </c>
      <c r="D109" s="13" t="s">
        <v>116</v>
      </c>
      <c r="E109" s="63">
        <f>884</f>
        <v>884</v>
      </c>
      <c r="F109" s="65"/>
      <c r="G109" s="64"/>
      <c r="H109" s="64"/>
      <c r="I109" s="64"/>
      <c r="J109" s="64"/>
      <c r="K109" s="64"/>
      <c r="L109" s="64"/>
      <c r="M109" s="64"/>
      <c r="N109" s="64"/>
      <c r="O109" s="64"/>
      <c r="P109" s="64"/>
    </row>
    <row r="110" spans="1:16" x14ac:dyDescent="0.2">
      <c r="A110" s="80">
        <f>IF(D110="","",COUNTIF(B$13:$B110,"l.c"))</f>
        <v>70</v>
      </c>
      <c r="B110" s="80" t="str">
        <f t="shared" si="2"/>
        <v>l.c</v>
      </c>
      <c r="C110" s="14" t="s">
        <v>160</v>
      </c>
      <c r="D110" s="13" t="s">
        <v>65</v>
      </c>
      <c r="E110" s="63">
        <f>27.5*2+40.8*2</f>
        <v>136.6</v>
      </c>
      <c r="F110" s="65"/>
      <c r="G110" s="64"/>
      <c r="H110" s="64"/>
      <c r="I110" s="64"/>
      <c r="J110" s="64"/>
      <c r="K110" s="64"/>
      <c r="L110" s="64"/>
      <c r="M110" s="64"/>
      <c r="N110" s="64"/>
      <c r="O110" s="64"/>
      <c r="P110" s="64"/>
    </row>
    <row r="111" spans="1:16" x14ac:dyDescent="0.2">
      <c r="A111" s="80">
        <f>IF(D111="","",COUNTIF(B$13:$B111,"l.c"))</f>
        <v>71</v>
      </c>
      <c r="B111" s="80" t="str">
        <f t="shared" si="2"/>
        <v>l.c</v>
      </c>
      <c r="C111" s="83" t="s">
        <v>161</v>
      </c>
      <c r="D111" s="87" t="s">
        <v>116</v>
      </c>
      <c r="E111" s="88">
        <f>3.6*30.1</f>
        <v>108.36</v>
      </c>
      <c r="F111" s="65"/>
      <c r="G111" s="64"/>
      <c r="H111" s="64"/>
      <c r="I111" s="64"/>
      <c r="J111" s="64"/>
      <c r="K111" s="64"/>
      <c r="L111" s="64"/>
      <c r="M111" s="64"/>
      <c r="N111" s="64"/>
      <c r="O111" s="64"/>
      <c r="P111" s="64"/>
    </row>
    <row r="112" spans="1:16" x14ac:dyDescent="0.2">
      <c r="A112" s="80">
        <f>IF(D112="","",COUNTIF(B$13:$B112,"l.c"))</f>
        <v>72</v>
      </c>
      <c r="B112" s="80" t="str">
        <f t="shared" si="2"/>
        <v>l.c</v>
      </c>
      <c r="C112" s="83" t="s">
        <v>162</v>
      </c>
      <c r="D112" s="87" t="s">
        <v>65</v>
      </c>
      <c r="E112" s="88">
        <f>10.7</f>
        <v>10.7</v>
      </c>
      <c r="F112" s="65"/>
      <c r="G112" s="64"/>
      <c r="H112" s="64"/>
      <c r="I112" s="64"/>
      <c r="J112" s="64"/>
      <c r="K112" s="64"/>
      <c r="L112" s="64"/>
      <c r="M112" s="64"/>
      <c r="N112" s="64"/>
      <c r="O112" s="64"/>
      <c r="P112" s="64"/>
    </row>
    <row r="113" spans="1:16" x14ac:dyDescent="0.2">
      <c r="A113" s="80" t="str">
        <f>IF(D113="","",COUNTIF(B$13:$B113,"l.c"))</f>
        <v/>
      </c>
      <c r="B113" s="80" t="str">
        <f>IF(D113="","","l.c")</f>
        <v/>
      </c>
      <c r="C113" s="83"/>
      <c r="D113" s="87"/>
      <c r="E113" s="88"/>
      <c r="F113" s="65"/>
      <c r="G113" s="64"/>
      <c r="H113" s="64"/>
      <c r="I113" s="64"/>
      <c r="J113" s="64"/>
      <c r="K113" s="64"/>
      <c r="L113" s="64"/>
      <c r="M113" s="64"/>
      <c r="N113" s="64"/>
      <c r="O113" s="64"/>
      <c r="P113" s="64"/>
    </row>
    <row r="114" spans="1:16" x14ac:dyDescent="0.2">
      <c r="A114" s="80" t="str">
        <f>IF(D114="","",COUNTIF(B$13:$B114,"l.c"))</f>
        <v/>
      </c>
      <c r="B114" s="80" t="str">
        <f t="shared" ref="B114:B115" si="11">IF(D114="","","l.c")</f>
        <v/>
      </c>
      <c r="C114" s="83"/>
      <c r="D114" s="87"/>
      <c r="E114" s="88"/>
      <c r="F114" s="65"/>
      <c r="G114" s="64"/>
      <c r="H114" s="64"/>
      <c r="I114" s="64"/>
      <c r="J114" s="64"/>
      <c r="K114" s="64"/>
      <c r="L114" s="64"/>
      <c r="M114" s="64"/>
      <c r="N114" s="64"/>
      <c r="O114" s="64"/>
      <c r="P114" s="64"/>
    </row>
    <row r="115" spans="1:16" x14ac:dyDescent="0.2">
      <c r="A115" s="80" t="str">
        <f>IF(D115="","",COUNTIF(B$13:$B115,"l.c"))</f>
        <v/>
      </c>
      <c r="B115" s="80" t="str">
        <f t="shared" si="11"/>
        <v/>
      </c>
      <c r="C115" s="83"/>
      <c r="D115" s="87"/>
      <c r="E115" s="88"/>
      <c r="F115" s="65"/>
      <c r="G115" s="64"/>
      <c r="H115" s="64"/>
      <c r="I115" s="64"/>
      <c r="J115" s="64"/>
      <c r="K115" s="64"/>
      <c r="L115" s="64"/>
      <c r="M115" s="64"/>
      <c r="N115" s="64"/>
      <c r="O115" s="64"/>
      <c r="P115" s="64"/>
    </row>
    <row r="116" spans="1:16" x14ac:dyDescent="0.2">
      <c r="A116" s="80"/>
      <c r="B116" s="80" t="str">
        <f t="shared" si="2"/>
        <v/>
      </c>
      <c r="C116" s="83"/>
      <c r="D116" s="87"/>
      <c r="E116" s="88"/>
      <c r="F116" s="65"/>
      <c r="G116" s="64"/>
      <c r="H116" s="64"/>
      <c r="I116" s="64"/>
      <c r="J116" s="64"/>
      <c r="K116" s="64"/>
      <c r="L116" s="64"/>
      <c r="M116" s="64"/>
      <c r="N116" s="64"/>
      <c r="O116" s="64"/>
      <c r="P116" s="64"/>
    </row>
    <row r="117" spans="1:16" x14ac:dyDescent="0.2">
      <c r="A117" s="80" t="str">
        <f>IF(D117="","",COUNTIF(B$13:$B117,"l.c"))</f>
        <v/>
      </c>
      <c r="B117" s="80" t="str">
        <f t="shared" si="2"/>
        <v/>
      </c>
      <c r="C117" s="75" t="s">
        <v>163</v>
      </c>
      <c r="D117" s="13"/>
      <c r="E117" s="63"/>
      <c r="F117" s="65"/>
      <c r="G117" s="64"/>
      <c r="H117" s="64">
        <f t="shared" si="3"/>
        <v>0</v>
      </c>
      <c r="I117" s="64">
        <v>0</v>
      </c>
      <c r="J117" s="64"/>
      <c r="K117" s="64">
        <f t="shared" si="4"/>
        <v>0</v>
      </c>
      <c r="L117" s="64">
        <f t="shared" si="5"/>
        <v>0</v>
      </c>
      <c r="M117" s="64">
        <f t="shared" si="6"/>
        <v>0</v>
      </c>
      <c r="N117" s="64">
        <f t="shared" si="7"/>
        <v>0</v>
      </c>
      <c r="O117" s="64">
        <f t="shared" si="8"/>
        <v>0</v>
      </c>
      <c r="P117" s="64">
        <f t="shared" si="9"/>
        <v>0</v>
      </c>
    </row>
    <row r="118" spans="1:16" x14ac:dyDescent="0.2">
      <c r="A118" s="80" t="str">
        <f>IF(D118="","",COUNTIF(B$13:$B118,"l.c"))</f>
        <v/>
      </c>
      <c r="B118" s="80" t="str">
        <f t="shared" si="2"/>
        <v/>
      </c>
      <c r="C118" s="81" t="s">
        <v>164</v>
      </c>
      <c r="D118" s="13"/>
      <c r="E118" s="63"/>
      <c r="F118" s="65"/>
      <c r="G118" s="64"/>
      <c r="H118" s="64">
        <f t="shared" si="3"/>
        <v>0</v>
      </c>
      <c r="I118" s="64">
        <v>0</v>
      </c>
      <c r="J118" s="64"/>
      <c r="K118" s="64">
        <f t="shared" si="4"/>
        <v>0</v>
      </c>
      <c r="L118" s="64">
        <f t="shared" si="5"/>
        <v>0</v>
      </c>
      <c r="M118" s="64">
        <f t="shared" si="6"/>
        <v>0</v>
      </c>
      <c r="N118" s="64">
        <f t="shared" si="7"/>
        <v>0</v>
      </c>
      <c r="O118" s="64">
        <f t="shared" si="8"/>
        <v>0</v>
      </c>
      <c r="P118" s="64">
        <f t="shared" si="9"/>
        <v>0</v>
      </c>
    </row>
    <row r="119" spans="1:16" ht="36" x14ac:dyDescent="0.2">
      <c r="A119" s="80">
        <f>IF(D119="","",COUNTIF(B$13:$B119,"l.c"))</f>
        <v>73</v>
      </c>
      <c r="B119" s="80" t="str">
        <f t="shared" si="2"/>
        <v>l.c</v>
      </c>
      <c r="C119" s="14" t="s">
        <v>165</v>
      </c>
      <c r="D119" s="13" t="s">
        <v>116</v>
      </c>
      <c r="E119" s="63">
        <f>41</f>
        <v>41</v>
      </c>
      <c r="F119" s="65"/>
      <c r="G119" s="64"/>
      <c r="H119" s="64"/>
      <c r="I119" s="64"/>
      <c r="J119" s="64"/>
      <c r="K119" s="64"/>
      <c r="L119" s="64"/>
      <c r="M119" s="64"/>
      <c r="N119" s="64"/>
      <c r="O119" s="64"/>
      <c r="P119" s="64"/>
    </row>
    <row r="120" spans="1:16" x14ac:dyDescent="0.2">
      <c r="A120" s="80" t="str">
        <f>IF(D120="","",COUNTIF(B$13:$B120,"l.c"))</f>
        <v/>
      </c>
      <c r="B120" s="80" t="str">
        <f t="shared" ref="B120:B121" si="12">IF(D120="","","l.c")</f>
        <v/>
      </c>
      <c r="C120" s="81" t="s">
        <v>166</v>
      </c>
      <c r="D120" s="13"/>
      <c r="E120" s="63"/>
      <c r="F120" s="65"/>
      <c r="G120" s="64"/>
      <c r="H120" s="64"/>
      <c r="I120" s="64"/>
      <c r="J120" s="64"/>
      <c r="K120" s="64"/>
      <c r="L120" s="64"/>
      <c r="M120" s="64"/>
      <c r="N120" s="64"/>
      <c r="O120" s="64"/>
      <c r="P120" s="64"/>
    </row>
    <row r="121" spans="1:16" ht="36" x14ac:dyDescent="0.2">
      <c r="A121" s="80">
        <f>IF(D121="","",COUNTIF(B$13:$B121,"l.c"))</f>
        <v>74</v>
      </c>
      <c r="B121" s="80" t="str">
        <f t="shared" si="12"/>
        <v>l.c</v>
      </c>
      <c r="C121" s="14" t="s">
        <v>167</v>
      </c>
      <c r="D121" s="13" t="s">
        <v>116</v>
      </c>
      <c r="E121" s="63">
        <f>103</f>
        <v>103</v>
      </c>
      <c r="F121" s="65"/>
      <c r="G121" s="64"/>
      <c r="H121" s="64"/>
      <c r="I121" s="64"/>
      <c r="J121" s="64"/>
      <c r="K121" s="64"/>
      <c r="L121" s="64"/>
      <c r="M121" s="64"/>
      <c r="N121" s="64"/>
      <c r="O121" s="64"/>
      <c r="P121" s="64"/>
    </row>
    <row r="122" spans="1:16" x14ac:dyDescent="0.2">
      <c r="A122" s="80" t="str">
        <f>IF(D122="","",COUNTIF(B$13:$B122,"l.c"))</f>
        <v/>
      </c>
      <c r="B122" s="80" t="str">
        <f t="shared" si="2"/>
        <v/>
      </c>
      <c r="C122" s="14"/>
      <c r="D122" s="87"/>
      <c r="E122" s="88"/>
      <c r="F122" s="65"/>
      <c r="G122" s="64"/>
      <c r="H122" s="64"/>
      <c r="I122" s="64"/>
      <c r="J122" s="64"/>
      <c r="K122" s="64"/>
      <c r="L122" s="64"/>
      <c r="M122" s="64"/>
      <c r="N122" s="64"/>
      <c r="O122" s="64"/>
      <c r="P122" s="64"/>
    </row>
    <row r="123" spans="1:16" x14ac:dyDescent="0.2">
      <c r="A123" s="80" t="str">
        <f>IF(D123="","",COUNTIF(B$13:$B123,"l.c"))</f>
        <v/>
      </c>
      <c r="B123" s="80" t="str">
        <f t="shared" si="2"/>
        <v/>
      </c>
      <c r="C123" s="81" t="s">
        <v>168</v>
      </c>
      <c r="D123" s="13"/>
      <c r="E123" s="63"/>
      <c r="F123" s="65"/>
      <c r="G123" s="64"/>
      <c r="H123" s="64"/>
      <c r="I123" s="64"/>
      <c r="J123" s="64"/>
      <c r="K123" s="64"/>
      <c r="L123" s="64"/>
      <c r="M123" s="64"/>
      <c r="N123" s="64"/>
      <c r="O123" s="64"/>
      <c r="P123" s="64"/>
    </row>
    <row r="124" spans="1:16" x14ac:dyDescent="0.2">
      <c r="A124" s="80">
        <f>IF(D124="","",COUNTIF(B$13:$B124,"l.c"))</f>
        <v>75</v>
      </c>
      <c r="B124" s="80" t="str">
        <f t="shared" si="2"/>
        <v>l.c</v>
      </c>
      <c r="C124" s="14" t="s">
        <v>169</v>
      </c>
      <c r="D124" s="13" t="s">
        <v>116</v>
      </c>
      <c r="E124" s="63">
        <v>66</v>
      </c>
      <c r="F124" s="65"/>
      <c r="G124" s="64"/>
      <c r="H124" s="64"/>
      <c r="I124" s="64"/>
      <c r="J124" s="64"/>
      <c r="K124" s="64"/>
      <c r="L124" s="64"/>
      <c r="M124" s="64"/>
      <c r="N124" s="64"/>
      <c r="O124" s="64"/>
      <c r="P124" s="64"/>
    </row>
    <row r="125" spans="1:16" x14ac:dyDescent="0.2">
      <c r="A125" s="80" t="str">
        <f>IF(D125="","",COUNTIF(B$13:$B125,"l.c"))</f>
        <v/>
      </c>
      <c r="B125" s="80" t="str">
        <f t="shared" si="2"/>
        <v/>
      </c>
      <c r="C125" s="14"/>
      <c r="D125" s="87"/>
      <c r="E125" s="88"/>
      <c r="F125" s="65"/>
      <c r="G125" s="64"/>
      <c r="H125" s="64"/>
      <c r="I125" s="64"/>
      <c r="J125" s="64"/>
      <c r="K125" s="64"/>
      <c r="L125" s="64"/>
      <c r="M125" s="64"/>
      <c r="N125" s="64"/>
      <c r="O125" s="64"/>
      <c r="P125" s="64"/>
    </row>
    <row r="126" spans="1:16" x14ac:dyDescent="0.2">
      <c r="A126" s="80" t="str">
        <f>IF(D126="","",COUNTIF(B$13:$B126,"l.c"))</f>
        <v/>
      </c>
      <c r="B126" s="80" t="str">
        <f t="shared" si="2"/>
        <v/>
      </c>
      <c r="C126" s="81" t="s">
        <v>170</v>
      </c>
      <c r="D126" s="13"/>
      <c r="E126" s="63"/>
      <c r="F126" s="65"/>
      <c r="G126" s="64"/>
      <c r="H126" s="64"/>
      <c r="I126" s="64"/>
      <c r="J126" s="64"/>
      <c r="K126" s="64"/>
      <c r="L126" s="64"/>
      <c r="M126" s="64"/>
      <c r="N126" s="64"/>
      <c r="O126" s="64"/>
      <c r="P126" s="64"/>
    </row>
    <row r="127" spans="1:16" ht="36" x14ac:dyDescent="0.2">
      <c r="A127" s="80">
        <f>IF(D127="","",COUNTIF(B$13:$B127,"l.c"))</f>
        <v>76</v>
      </c>
      <c r="B127" s="80" t="str">
        <f t="shared" si="2"/>
        <v>l.c</v>
      </c>
      <c r="C127" s="14" t="s">
        <v>171</v>
      </c>
      <c r="D127" s="13" t="s">
        <v>93</v>
      </c>
      <c r="E127" s="63">
        <f>52</f>
        <v>52</v>
      </c>
      <c r="F127" s="65"/>
      <c r="G127" s="64"/>
      <c r="H127" s="64"/>
      <c r="I127" s="64"/>
      <c r="J127" s="64"/>
      <c r="K127" s="64"/>
      <c r="L127" s="64"/>
      <c r="M127" s="64"/>
      <c r="N127" s="64"/>
      <c r="O127" s="64"/>
      <c r="P127" s="64"/>
    </row>
    <row r="128" spans="1:16" ht="24" x14ac:dyDescent="0.2">
      <c r="A128" s="80">
        <f>A127+1</f>
        <v>77</v>
      </c>
      <c r="B128" s="80" t="str">
        <f t="shared" si="2"/>
        <v>l.c</v>
      </c>
      <c r="C128" s="14" t="s">
        <v>172</v>
      </c>
      <c r="D128" s="13" t="s">
        <v>93</v>
      </c>
      <c r="E128" s="63">
        <f>E127*0.4</f>
        <v>20.8</v>
      </c>
      <c r="F128" s="65"/>
      <c r="G128" s="64"/>
      <c r="H128" s="64"/>
      <c r="I128" s="64"/>
      <c r="J128" s="64"/>
      <c r="K128" s="64"/>
      <c r="L128" s="64"/>
      <c r="M128" s="64"/>
      <c r="N128" s="64"/>
      <c r="O128" s="64"/>
      <c r="P128" s="64"/>
    </row>
    <row r="129" spans="1:16" x14ac:dyDescent="0.2">
      <c r="A129" s="80" t="str">
        <f>IF(D129="","",COUNTIF(B$13:$B129,"l.c"))</f>
        <v/>
      </c>
      <c r="B129" s="80" t="str">
        <f t="shared" ref="B129:B133" si="13">IF(D129="","","l.c")</f>
        <v/>
      </c>
      <c r="C129" s="14"/>
      <c r="D129" s="87"/>
      <c r="E129" s="88"/>
      <c r="F129" s="65"/>
      <c r="G129" s="64"/>
      <c r="H129" s="64"/>
      <c r="I129" s="64"/>
      <c r="J129" s="64"/>
      <c r="K129" s="64"/>
      <c r="L129" s="64"/>
      <c r="M129" s="64"/>
      <c r="N129" s="64"/>
      <c r="O129" s="64"/>
      <c r="P129" s="64"/>
    </row>
    <row r="130" spans="1:16" x14ac:dyDescent="0.2">
      <c r="A130" s="80" t="str">
        <f>IF(D130="","",COUNTIF(B$13:$B130,"l.c"))</f>
        <v/>
      </c>
      <c r="B130" s="80" t="str">
        <f t="shared" si="13"/>
        <v/>
      </c>
      <c r="C130" s="81" t="s">
        <v>173</v>
      </c>
      <c r="D130" s="13"/>
      <c r="E130" s="63"/>
      <c r="F130" s="65"/>
      <c r="G130" s="64"/>
      <c r="H130" s="64"/>
      <c r="I130" s="64"/>
      <c r="J130" s="64"/>
      <c r="K130" s="64"/>
      <c r="L130" s="64"/>
      <c r="M130" s="64"/>
      <c r="N130" s="64"/>
      <c r="O130" s="64"/>
      <c r="P130" s="64"/>
    </row>
    <row r="131" spans="1:16" ht="24" x14ac:dyDescent="0.2">
      <c r="A131" s="80">
        <f>IF(D131="","",COUNTIF(B$13:$B131,"l.c"))</f>
        <v>78</v>
      </c>
      <c r="B131" s="80" t="str">
        <f t="shared" si="13"/>
        <v>l.c</v>
      </c>
      <c r="C131" s="14" t="s">
        <v>174</v>
      </c>
      <c r="D131" s="13" t="s">
        <v>93</v>
      </c>
      <c r="E131" s="63">
        <f>15*0.15</f>
        <v>2.25</v>
      </c>
      <c r="F131" s="65"/>
      <c r="G131" s="64"/>
      <c r="H131" s="64"/>
      <c r="I131" s="64"/>
      <c r="J131" s="64"/>
      <c r="K131" s="64"/>
      <c r="L131" s="64"/>
      <c r="M131" s="64"/>
      <c r="N131" s="64"/>
      <c r="O131" s="64"/>
      <c r="P131" s="64"/>
    </row>
    <row r="132" spans="1:16" x14ac:dyDescent="0.2">
      <c r="A132" s="80">
        <f>A131+1</f>
        <v>79</v>
      </c>
      <c r="B132" s="80" t="str">
        <f t="shared" si="13"/>
        <v>l.c</v>
      </c>
      <c r="C132" s="14" t="s">
        <v>175</v>
      </c>
      <c r="D132" s="13" t="s">
        <v>116</v>
      </c>
      <c r="E132" s="63">
        <f>15*2</f>
        <v>30</v>
      </c>
      <c r="F132" s="65"/>
      <c r="G132" s="64"/>
      <c r="H132" s="64"/>
      <c r="I132" s="64"/>
      <c r="J132" s="64"/>
      <c r="K132" s="64"/>
      <c r="L132" s="64"/>
      <c r="M132" s="64"/>
      <c r="N132" s="64"/>
      <c r="O132" s="64"/>
      <c r="P132" s="64"/>
    </row>
    <row r="133" spans="1:16" x14ac:dyDescent="0.2">
      <c r="A133" s="80">
        <f>A132+1</f>
        <v>80</v>
      </c>
      <c r="B133" s="80" t="str">
        <f t="shared" si="13"/>
        <v>l.c</v>
      </c>
      <c r="C133" s="14" t="s">
        <v>176</v>
      </c>
      <c r="D133" s="13" t="s">
        <v>116</v>
      </c>
      <c r="E133" s="63">
        <f>15</f>
        <v>15</v>
      </c>
      <c r="F133" s="65"/>
      <c r="G133" s="64"/>
      <c r="H133" s="64"/>
      <c r="I133" s="64"/>
      <c r="J133" s="64"/>
      <c r="K133" s="64"/>
      <c r="L133" s="64"/>
      <c r="M133" s="64"/>
      <c r="N133" s="64"/>
      <c r="O133" s="64"/>
      <c r="P133" s="64"/>
    </row>
    <row r="134" spans="1:16" ht="24" x14ac:dyDescent="0.2">
      <c r="A134" s="80">
        <f>A133+1</f>
        <v>81</v>
      </c>
      <c r="B134" s="80" t="str">
        <f>IF(D134="","","l.c")</f>
        <v>l.c</v>
      </c>
      <c r="C134" s="14" t="s">
        <v>177</v>
      </c>
      <c r="D134" s="13" t="s">
        <v>116</v>
      </c>
      <c r="E134" s="63">
        <f>15</f>
        <v>15</v>
      </c>
      <c r="F134" s="65"/>
      <c r="G134" s="64"/>
      <c r="H134" s="64"/>
      <c r="I134" s="64"/>
      <c r="J134" s="64"/>
      <c r="K134" s="64"/>
      <c r="L134" s="64"/>
      <c r="M134" s="64"/>
      <c r="N134" s="64"/>
      <c r="O134" s="64"/>
      <c r="P134" s="64"/>
    </row>
    <row r="135" spans="1:16" x14ac:dyDescent="0.2">
      <c r="A135" s="80">
        <f>A134+1</f>
        <v>82</v>
      </c>
      <c r="B135" s="80" t="str">
        <f t="shared" ref="B135:B139" si="14">IF(D135="","","l.c")</f>
        <v>l.c</v>
      </c>
      <c r="C135" s="14" t="s">
        <v>178</v>
      </c>
      <c r="D135" s="13" t="s">
        <v>116</v>
      </c>
      <c r="E135" s="63">
        <v>15</v>
      </c>
      <c r="F135" s="65"/>
      <c r="G135" s="64"/>
      <c r="H135" s="64"/>
      <c r="I135" s="64"/>
      <c r="J135" s="64"/>
      <c r="K135" s="64"/>
      <c r="L135" s="64"/>
      <c r="M135" s="64"/>
      <c r="N135" s="64"/>
      <c r="O135" s="64"/>
      <c r="P135" s="64"/>
    </row>
    <row r="136" spans="1:16" x14ac:dyDescent="0.2">
      <c r="A136" s="80" t="str">
        <f>IF(D136="","",COUNTIF(B$13:$B136,"l.c"))</f>
        <v/>
      </c>
      <c r="B136" s="80" t="str">
        <f t="shared" si="14"/>
        <v/>
      </c>
      <c r="C136" s="14"/>
      <c r="D136" s="87"/>
      <c r="E136" s="88"/>
      <c r="F136" s="65"/>
      <c r="G136" s="64"/>
      <c r="H136" s="64"/>
      <c r="I136" s="64"/>
      <c r="J136" s="64"/>
      <c r="K136" s="64"/>
      <c r="L136" s="64"/>
      <c r="M136" s="64"/>
      <c r="N136" s="64"/>
      <c r="O136" s="64"/>
      <c r="P136" s="64"/>
    </row>
    <row r="137" spans="1:16" x14ac:dyDescent="0.2">
      <c r="A137" s="80" t="str">
        <f>IF(D137="","",COUNTIF(B$13:$B137,"l.c"))</f>
        <v/>
      </c>
      <c r="B137" s="80" t="str">
        <f t="shared" si="14"/>
        <v/>
      </c>
      <c r="C137" s="81" t="s">
        <v>179</v>
      </c>
      <c r="D137" s="13"/>
      <c r="E137" s="63"/>
      <c r="F137" s="65"/>
      <c r="G137" s="64"/>
      <c r="H137" s="64"/>
      <c r="I137" s="64"/>
      <c r="J137" s="64"/>
      <c r="K137" s="64"/>
      <c r="L137" s="64"/>
      <c r="M137" s="64"/>
      <c r="N137" s="64"/>
      <c r="O137" s="64"/>
      <c r="P137" s="64"/>
    </row>
    <row r="138" spans="1:16" ht="36" x14ac:dyDescent="0.2">
      <c r="A138" s="80">
        <f>IF(D138="","",COUNTIF(B$13:$B138,"l.c"))</f>
        <v>83</v>
      </c>
      <c r="B138" s="80" t="str">
        <f t="shared" si="14"/>
        <v>l.c</v>
      </c>
      <c r="C138" s="14" t="s">
        <v>180</v>
      </c>
      <c r="D138" s="13" t="s">
        <v>93</v>
      </c>
      <c r="E138" s="63">
        <f>8*0.15</f>
        <v>1.2</v>
      </c>
      <c r="F138" s="65"/>
      <c r="G138" s="64"/>
      <c r="H138" s="64"/>
      <c r="I138" s="64"/>
      <c r="J138" s="64"/>
      <c r="K138" s="64"/>
      <c r="L138" s="64"/>
      <c r="M138" s="64"/>
      <c r="N138" s="64"/>
      <c r="O138" s="64"/>
      <c r="P138" s="64"/>
    </row>
    <row r="139" spans="1:16" ht="24" x14ac:dyDescent="0.2">
      <c r="A139" s="80">
        <f>A138+1</f>
        <v>84</v>
      </c>
      <c r="B139" s="80" t="str">
        <f t="shared" si="14"/>
        <v>l.c</v>
      </c>
      <c r="C139" s="14" t="s">
        <v>181</v>
      </c>
      <c r="D139" s="13" t="s">
        <v>116</v>
      </c>
      <c r="E139" s="63">
        <v>8</v>
      </c>
      <c r="F139" s="65"/>
      <c r="G139" s="64"/>
      <c r="H139" s="64"/>
      <c r="I139" s="64"/>
      <c r="J139" s="64"/>
      <c r="K139" s="64"/>
      <c r="L139" s="64"/>
      <c r="M139" s="64"/>
      <c r="N139" s="64"/>
      <c r="O139" s="64"/>
      <c r="P139" s="64"/>
    </row>
    <row r="140" spans="1:16" x14ac:dyDescent="0.2">
      <c r="A140" s="80" t="str">
        <f>IF(D140="","",COUNTIF(B$13:$B140,"l.c"))</f>
        <v/>
      </c>
      <c r="B140" s="80" t="str">
        <f t="shared" ref="B140:B147" si="15">IF(D140="","","l.c")</f>
        <v/>
      </c>
      <c r="C140" s="14"/>
      <c r="D140" s="87"/>
      <c r="E140" s="88"/>
      <c r="F140" s="65"/>
      <c r="G140" s="64"/>
      <c r="H140" s="64"/>
      <c r="I140" s="64"/>
      <c r="J140" s="64"/>
      <c r="K140" s="64"/>
      <c r="L140" s="64"/>
      <c r="M140" s="64"/>
      <c r="N140" s="64"/>
      <c r="O140" s="64"/>
      <c r="P140" s="64"/>
    </row>
    <row r="141" spans="1:16" x14ac:dyDescent="0.2">
      <c r="A141" s="80" t="str">
        <f>IF(D141="","",COUNTIF(B$13:$B141,"l.c"))</f>
        <v/>
      </c>
      <c r="B141" s="80" t="str">
        <f t="shared" si="15"/>
        <v/>
      </c>
      <c r="C141" s="81" t="s">
        <v>182</v>
      </c>
      <c r="D141" s="13"/>
      <c r="E141" s="63"/>
      <c r="F141" s="65"/>
      <c r="G141" s="64"/>
      <c r="H141" s="64"/>
      <c r="I141" s="64"/>
      <c r="J141" s="64"/>
      <c r="K141" s="64"/>
      <c r="L141" s="64"/>
      <c r="M141" s="64"/>
      <c r="N141" s="64"/>
      <c r="O141" s="64"/>
      <c r="P141" s="64"/>
    </row>
    <row r="142" spans="1:16" ht="36" x14ac:dyDescent="0.2">
      <c r="A142" s="80">
        <f>IF(D142="","",COUNTIF(B$13:$B142,"l.c"))</f>
        <v>85</v>
      </c>
      <c r="B142" s="80" t="str">
        <f t="shared" si="15"/>
        <v>l.c</v>
      </c>
      <c r="C142" s="14" t="s">
        <v>183</v>
      </c>
      <c r="D142" s="13" t="s">
        <v>93</v>
      </c>
      <c r="E142" s="63">
        <f>45*0.2</f>
        <v>9</v>
      </c>
      <c r="F142" s="65"/>
      <c r="G142" s="64"/>
      <c r="H142" s="64"/>
      <c r="I142" s="64"/>
      <c r="J142" s="64"/>
      <c r="K142" s="64"/>
      <c r="L142" s="64"/>
      <c r="M142" s="64"/>
      <c r="N142" s="64"/>
      <c r="O142" s="64"/>
      <c r="P142" s="64"/>
    </row>
    <row r="143" spans="1:16" ht="24" x14ac:dyDescent="0.2">
      <c r="A143" s="80">
        <f>A142+1</f>
        <v>86</v>
      </c>
      <c r="B143" s="80" t="str">
        <f t="shared" si="15"/>
        <v>l.c</v>
      </c>
      <c r="C143" s="14" t="s">
        <v>181</v>
      </c>
      <c r="D143" s="13" t="s">
        <v>116</v>
      </c>
      <c r="E143" s="63">
        <f>45</f>
        <v>45</v>
      </c>
      <c r="F143" s="65"/>
      <c r="G143" s="64"/>
      <c r="H143" s="64"/>
      <c r="I143" s="64"/>
      <c r="J143" s="64"/>
      <c r="K143" s="64"/>
      <c r="L143" s="64"/>
      <c r="M143" s="64"/>
      <c r="N143" s="64"/>
      <c r="O143" s="64"/>
      <c r="P143" s="64"/>
    </row>
    <row r="144" spans="1:16" x14ac:dyDescent="0.2">
      <c r="A144" s="80" t="str">
        <f>IF(D144="","",COUNTIF(B$13:$B144,"l.c"))</f>
        <v/>
      </c>
      <c r="B144" s="80" t="str">
        <f t="shared" si="15"/>
        <v/>
      </c>
      <c r="C144" s="14"/>
      <c r="D144" s="87"/>
      <c r="E144" s="88"/>
      <c r="F144" s="65"/>
      <c r="G144" s="64"/>
      <c r="H144" s="64"/>
      <c r="I144" s="64"/>
      <c r="J144" s="64"/>
      <c r="K144" s="64"/>
      <c r="L144" s="64"/>
      <c r="M144" s="64"/>
      <c r="N144" s="64"/>
      <c r="O144" s="64"/>
      <c r="P144" s="64"/>
    </row>
    <row r="145" spans="1:16" x14ac:dyDescent="0.2">
      <c r="A145" s="80" t="str">
        <f>IF(D145="","",COUNTIF(B$13:$B145,"l.c"))</f>
        <v/>
      </c>
      <c r="B145" s="80" t="str">
        <f t="shared" si="15"/>
        <v/>
      </c>
      <c r="C145" s="81" t="s">
        <v>184</v>
      </c>
      <c r="D145" s="13"/>
      <c r="E145" s="63"/>
      <c r="F145" s="65"/>
      <c r="G145" s="64"/>
      <c r="H145" s="64"/>
      <c r="I145" s="64"/>
      <c r="J145" s="64"/>
      <c r="K145" s="64"/>
      <c r="L145" s="64"/>
      <c r="M145" s="64"/>
      <c r="N145" s="64"/>
      <c r="O145" s="64"/>
      <c r="P145" s="64"/>
    </row>
    <row r="146" spans="1:16" ht="36" x14ac:dyDescent="0.2">
      <c r="A146" s="80">
        <f>IF(D146="","",COUNTIF(B$13:$B146,"l.c"))</f>
        <v>87</v>
      </c>
      <c r="B146" s="80" t="str">
        <f t="shared" si="15"/>
        <v>l.c</v>
      </c>
      <c r="C146" s="14" t="s">
        <v>185</v>
      </c>
      <c r="D146" s="13" t="s">
        <v>93</v>
      </c>
      <c r="E146" s="63">
        <f>37*0.19</f>
        <v>7.03</v>
      </c>
      <c r="F146" s="65"/>
      <c r="G146" s="64"/>
      <c r="H146" s="64"/>
      <c r="I146" s="64"/>
      <c r="J146" s="64"/>
      <c r="K146" s="64"/>
      <c r="L146" s="64"/>
      <c r="M146" s="64"/>
      <c r="N146" s="64"/>
      <c r="O146" s="64"/>
      <c r="P146" s="64"/>
    </row>
    <row r="147" spans="1:16" ht="24" x14ac:dyDescent="0.2">
      <c r="A147" s="80">
        <f>A146+1</f>
        <v>88</v>
      </c>
      <c r="B147" s="80" t="str">
        <f t="shared" si="15"/>
        <v>l.c</v>
      </c>
      <c r="C147" s="14" t="s">
        <v>172</v>
      </c>
      <c r="D147" s="13" t="s">
        <v>93</v>
      </c>
      <c r="E147" s="63">
        <f>E146*0.6</f>
        <v>4.22</v>
      </c>
      <c r="F147" s="65"/>
      <c r="G147" s="64"/>
      <c r="H147" s="64"/>
      <c r="I147" s="64"/>
      <c r="J147" s="64"/>
      <c r="K147" s="64"/>
      <c r="L147" s="64"/>
      <c r="M147" s="64"/>
      <c r="N147" s="64"/>
      <c r="O147" s="64"/>
      <c r="P147" s="64"/>
    </row>
    <row r="148" spans="1:16" x14ac:dyDescent="0.2">
      <c r="A148" s="80" t="str">
        <f>IF(D148="","",COUNTIF(B$13:$B148,"l.c"))</f>
        <v/>
      </c>
      <c r="B148" s="80" t="str">
        <f t="shared" ref="B148:B150" si="16">IF(D148="","","l.c")</f>
        <v/>
      </c>
      <c r="C148" s="14"/>
      <c r="D148" s="87"/>
      <c r="E148" s="88"/>
      <c r="F148" s="65"/>
      <c r="G148" s="64"/>
      <c r="H148" s="64"/>
      <c r="I148" s="64"/>
      <c r="J148" s="64"/>
      <c r="K148" s="64"/>
      <c r="L148" s="64"/>
      <c r="M148" s="64"/>
      <c r="N148" s="64"/>
      <c r="O148" s="64"/>
      <c r="P148" s="64"/>
    </row>
    <row r="149" spans="1:16" x14ac:dyDescent="0.2">
      <c r="A149" s="80" t="str">
        <f>IF(D149="","",COUNTIF(B$13:$B149,"l.c"))</f>
        <v/>
      </c>
      <c r="B149" s="80" t="str">
        <f t="shared" si="16"/>
        <v/>
      </c>
      <c r="C149" s="81" t="s">
        <v>186</v>
      </c>
      <c r="D149" s="13"/>
      <c r="E149" s="63"/>
      <c r="F149" s="65"/>
      <c r="G149" s="64"/>
      <c r="H149" s="64"/>
      <c r="I149" s="64"/>
      <c r="J149" s="64"/>
      <c r="K149" s="64"/>
      <c r="L149" s="64"/>
      <c r="M149" s="64"/>
      <c r="N149" s="64"/>
      <c r="O149" s="64"/>
      <c r="P149" s="64"/>
    </row>
    <row r="150" spans="1:16" ht="24" x14ac:dyDescent="0.2">
      <c r="A150" s="80">
        <f>IF(D150="","",COUNTIF(B$13:$B150,"l.c"))</f>
        <v>89</v>
      </c>
      <c r="B150" s="80" t="str">
        <f t="shared" si="16"/>
        <v>l.c</v>
      </c>
      <c r="C150" s="14" t="s">
        <v>187</v>
      </c>
      <c r="D150" s="13" t="s">
        <v>116</v>
      </c>
      <c r="E150" s="63">
        <f>19</f>
        <v>19</v>
      </c>
      <c r="F150" s="65"/>
      <c r="G150" s="64"/>
      <c r="H150" s="64"/>
      <c r="I150" s="64"/>
      <c r="J150" s="64"/>
      <c r="K150" s="64"/>
      <c r="L150" s="64"/>
      <c r="M150" s="64"/>
      <c r="N150" s="64"/>
      <c r="O150" s="64"/>
      <c r="P150" s="64"/>
    </row>
    <row r="151" spans="1:16" x14ac:dyDescent="0.2">
      <c r="A151" s="80" t="str">
        <f>IF(D151="","",COUNTIF(B$13:$B151,"l.c"))</f>
        <v/>
      </c>
      <c r="B151" s="80" t="str">
        <f t="shared" ref="B151:B200" si="17">IF(D151="","","l.c")</f>
        <v/>
      </c>
      <c r="C151" s="14"/>
      <c r="D151" s="13"/>
      <c r="E151" s="63"/>
      <c r="F151" s="65"/>
      <c r="G151" s="64"/>
      <c r="H151" s="64"/>
      <c r="I151" s="64"/>
      <c r="J151" s="64"/>
      <c r="K151" s="64"/>
      <c r="L151" s="64"/>
      <c r="M151" s="64"/>
      <c r="N151" s="64"/>
      <c r="O151" s="64"/>
      <c r="P151" s="64"/>
    </row>
    <row r="152" spans="1:16" x14ac:dyDescent="0.2">
      <c r="A152" s="80" t="str">
        <f>IF(D152="","",COUNTIF(B$13:$B152,"l.c"))</f>
        <v/>
      </c>
      <c r="B152" s="80" t="str">
        <f t="shared" si="17"/>
        <v/>
      </c>
      <c r="C152" s="75" t="s">
        <v>188</v>
      </c>
      <c r="D152" s="13"/>
      <c r="E152" s="63"/>
      <c r="F152" s="65"/>
      <c r="G152" s="64"/>
      <c r="H152" s="64"/>
      <c r="I152" s="64"/>
      <c r="J152" s="64"/>
      <c r="K152" s="64"/>
      <c r="L152" s="64"/>
      <c r="M152" s="64"/>
      <c r="N152" s="64"/>
      <c r="O152" s="64"/>
      <c r="P152" s="64"/>
    </row>
    <row r="153" spans="1:16" x14ac:dyDescent="0.2">
      <c r="A153" s="80"/>
      <c r="B153" s="80"/>
      <c r="C153" s="81" t="s">
        <v>189</v>
      </c>
      <c r="D153" s="76" t="s">
        <v>116</v>
      </c>
      <c r="E153" s="89">
        <f>168</f>
        <v>168</v>
      </c>
      <c r="F153" s="65"/>
      <c r="G153" s="64"/>
      <c r="H153" s="64"/>
      <c r="I153" s="64"/>
      <c r="J153" s="64"/>
      <c r="K153" s="64"/>
      <c r="L153" s="64"/>
      <c r="M153" s="64"/>
      <c r="N153" s="64"/>
      <c r="O153" s="64"/>
      <c r="P153" s="64"/>
    </row>
    <row r="154" spans="1:16" x14ac:dyDescent="0.2">
      <c r="A154" s="80">
        <f>IF(D154="","",COUNTIF(B$13:$B154,"l.c"))</f>
        <v>90</v>
      </c>
      <c r="B154" s="80" t="str">
        <f t="shared" si="17"/>
        <v>l.c</v>
      </c>
      <c r="C154" s="14" t="s">
        <v>130</v>
      </c>
      <c r="D154" s="13" t="s">
        <v>116</v>
      </c>
      <c r="E154" s="63">
        <f>E153</f>
        <v>168</v>
      </c>
      <c r="F154" s="65"/>
      <c r="G154" s="64"/>
      <c r="H154" s="64"/>
      <c r="I154" s="64"/>
      <c r="J154" s="64"/>
      <c r="K154" s="64"/>
      <c r="L154" s="64"/>
      <c r="M154" s="64"/>
      <c r="N154" s="64"/>
      <c r="O154" s="64"/>
      <c r="P154" s="64"/>
    </row>
    <row r="155" spans="1:16" x14ac:dyDescent="0.2">
      <c r="A155" s="80">
        <f>IF(D155="","",COUNTIF(B$13:$B155,"l.c"))</f>
        <v>91</v>
      </c>
      <c r="B155" s="80" t="str">
        <f t="shared" si="17"/>
        <v>l.c</v>
      </c>
      <c r="C155" s="14" t="s">
        <v>190</v>
      </c>
      <c r="D155" s="13" t="s">
        <v>93</v>
      </c>
      <c r="E155" s="63">
        <f>E153*0.3</f>
        <v>50.4</v>
      </c>
      <c r="F155" s="65"/>
      <c r="G155" s="64"/>
      <c r="H155" s="64"/>
      <c r="I155" s="64"/>
      <c r="J155" s="64"/>
      <c r="K155" s="64"/>
      <c r="L155" s="64"/>
      <c r="M155" s="64"/>
      <c r="N155" s="64"/>
      <c r="O155" s="64"/>
      <c r="P155" s="64"/>
    </row>
    <row r="156" spans="1:16" x14ac:dyDescent="0.2">
      <c r="A156" s="80">
        <f>IF(D156="","",COUNTIF(B$13:$B156,"l.c"))</f>
        <v>92</v>
      </c>
      <c r="B156" s="80" t="str">
        <f t="shared" si="17"/>
        <v>l.c</v>
      </c>
      <c r="C156" s="14" t="s">
        <v>191</v>
      </c>
      <c r="D156" s="13" t="s">
        <v>93</v>
      </c>
      <c r="E156" s="63">
        <f>E153*0.2</f>
        <v>33.6</v>
      </c>
      <c r="F156" s="65"/>
      <c r="G156" s="64"/>
      <c r="H156" s="64"/>
      <c r="I156" s="64"/>
      <c r="J156" s="64"/>
      <c r="K156" s="64"/>
      <c r="L156" s="64"/>
      <c r="M156" s="64"/>
      <c r="N156" s="64"/>
      <c r="O156" s="64"/>
      <c r="P156" s="64"/>
    </row>
    <row r="157" spans="1:16" x14ac:dyDescent="0.2">
      <c r="A157" s="80">
        <f>IF(D157="","",COUNTIF(B$13:$B157,"l.c"))</f>
        <v>93</v>
      </c>
      <c r="B157" s="80" t="str">
        <f t="shared" si="17"/>
        <v>l.c</v>
      </c>
      <c r="C157" s="14" t="s">
        <v>192</v>
      </c>
      <c r="D157" s="13" t="s">
        <v>116</v>
      </c>
      <c r="E157" s="63">
        <f>E153</f>
        <v>168</v>
      </c>
      <c r="F157" s="65"/>
      <c r="G157" s="64"/>
      <c r="H157" s="64"/>
      <c r="I157" s="64"/>
      <c r="J157" s="64"/>
      <c r="K157" s="64"/>
      <c r="L157" s="64"/>
      <c r="M157" s="64"/>
      <c r="N157" s="64"/>
      <c r="O157" s="64"/>
      <c r="P157" s="64"/>
    </row>
    <row r="158" spans="1:16" ht="24" x14ac:dyDescent="0.2">
      <c r="A158" s="80">
        <f>IF(D158="","",COUNTIF(B$13:$B158,"l.c"))</f>
        <v>94</v>
      </c>
      <c r="B158" s="80" t="str">
        <f t="shared" si="17"/>
        <v>l.c</v>
      </c>
      <c r="C158" s="14" t="s">
        <v>193</v>
      </c>
      <c r="D158" s="13" t="str">
        <f>D153</f>
        <v>m2</v>
      </c>
      <c r="E158" s="63">
        <f>E153</f>
        <v>168</v>
      </c>
      <c r="F158" s="65"/>
      <c r="G158" s="64"/>
      <c r="H158" s="64"/>
      <c r="I158" s="64"/>
      <c r="J158" s="64"/>
      <c r="K158" s="64"/>
      <c r="L158" s="64"/>
      <c r="M158" s="64"/>
      <c r="N158" s="64"/>
      <c r="O158" s="64"/>
      <c r="P158" s="64"/>
    </row>
    <row r="159" spans="1:16" ht="24" x14ac:dyDescent="0.2">
      <c r="A159" s="80">
        <f>IF(D159="","",COUNTIF(B$13:$B159,"l.c"))</f>
        <v>95</v>
      </c>
      <c r="B159" s="80" t="str">
        <f t="shared" si="17"/>
        <v>l.c</v>
      </c>
      <c r="C159" s="14" t="s">
        <v>194</v>
      </c>
      <c r="D159" s="13" t="s">
        <v>93</v>
      </c>
      <c r="E159" s="63">
        <f>E153*0.14</f>
        <v>23.52</v>
      </c>
      <c r="F159" s="65"/>
      <c r="G159" s="64"/>
      <c r="H159" s="64"/>
      <c r="I159" s="64"/>
      <c r="J159" s="64"/>
      <c r="K159" s="64"/>
      <c r="L159" s="64"/>
      <c r="M159" s="64"/>
      <c r="N159" s="64"/>
      <c r="O159" s="64"/>
      <c r="P159" s="64"/>
    </row>
    <row r="160" spans="1:16" x14ac:dyDescent="0.2">
      <c r="A160" s="80">
        <f>IF(D160="","",COUNTIF(B$13:$B160,"l.c"))</f>
        <v>96</v>
      </c>
      <c r="B160" s="80" t="str">
        <f t="shared" si="17"/>
        <v>l.c</v>
      </c>
      <c r="C160" s="14" t="s">
        <v>195</v>
      </c>
      <c r="D160" s="13" t="s">
        <v>93</v>
      </c>
      <c r="E160" s="63">
        <f>E159*1.05</f>
        <v>24.7</v>
      </c>
      <c r="F160" s="65"/>
      <c r="G160" s="64"/>
      <c r="H160" s="64"/>
      <c r="I160" s="64"/>
      <c r="J160" s="64"/>
      <c r="K160" s="64"/>
      <c r="L160" s="64"/>
      <c r="M160" s="64"/>
      <c r="N160" s="64"/>
      <c r="O160" s="64"/>
      <c r="P160" s="64"/>
    </row>
    <row r="161" spans="1:16" ht="144" x14ac:dyDescent="0.2">
      <c r="A161" s="80">
        <f>IF(D161="","",COUNTIF(B$13:$B161,"l.c"))</f>
        <v>97</v>
      </c>
      <c r="B161" s="80" t="str">
        <f t="shared" si="17"/>
        <v>l.c</v>
      </c>
      <c r="C161" s="14" t="s">
        <v>196</v>
      </c>
      <c r="D161" s="13" t="s">
        <v>116</v>
      </c>
      <c r="E161" s="63">
        <f>E153</f>
        <v>168</v>
      </c>
      <c r="F161" s="65"/>
      <c r="G161" s="64"/>
      <c r="H161" s="64"/>
      <c r="I161" s="64"/>
      <c r="J161" s="64"/>
      <c r="K161" s="64"/>
      <c r="L161" s="64"/>
      <c r="M161" s="64"/>
      <c r="N161" s="64"/>
      <c r="O161" s="64"/>
      <c r="P161" s="64"/>
    </row>
    <row r="162" spans="1:16" x14ac:dyDescent="0.2">
      <c r="A162" s="90">
        <f>IF(D162="","",COUNTIF(B$13:$B162,"l.c"))</f>
        <v>98</v>
      </c>
      <c r="B162" s="80" t="str">
        <f t="shared" si="17"/>
        <v>l.c</v>
      </c>
      <c r="C162" s="14" t="s">
        <v>197</v>
      </c>
      <c r="D162" s="13" t="s">
        <v>116</v>
      </c>
      <c r="E162" s="63">
        <f>38*1.2</f>
        <v>45.6</v>
      </c>
      <c r="F162" s="65"/>
      <c r="G162" s="64"/>
      <c r="H162" s="64"/>
      <c r="I162" s="64"/>
      <c r="J162" s="64"/>
      <c r="K162" s="64"/>
      <c r="L162" s="64"/>
      <c r="M162" s="64"/>
      <c r="N162" s="64"/>
      <c r="O162" s="64"/>
      <c r="P162" s="64"/>
    </row>
    <row r="163" spans="1:16" x14ac:dyDescent="0.2">
      <c r="A163" s="80"/>
      <c r="B163" s="80"/>
      <c r="C163" s="81" t="s">
        <v>198</v>
      </c>
      <c r="D163" s="76" t="s">
        <v>116</v>
      </c>
      <c r="E163" s="89">
        <f>256</f>
        <v>256</v>
      </c>
      <c r="F163" s="65"/>
      <c r="G163" s="64"/>
      <c r="H163" s="64"/>
      <c r="I163" s="64"/>
      <c r="J163" s="64"/>
      <c r="K163" s="64"/>
      <c r="L163" s="64"/>
      <c r="M163" s="64"/>
      <c r="N163" s="64"/>
      <c r="O163" s="64"/>
      <c r="P163" s="64"/>
    </row>
    <row r="164" spans="1:16" x14ac:dyDescent="0.2">
      <c r="A164" s="80">
        <f>IF(D164="","",COUNTIF(B$13:$B164,"l.c"))</f>
        <v>99</v>
      </c>
      <c r="B164" s="80" t="str">
        <f t="shared" si="17"/>
        <v>l.c</v>
      </c>
      <c r="C164" s="14" t="s">
        <v>130</v>
      </c>
      <c r="D164" s="13" t="s">
        <v>116</v>
      </c>
      <c r="E164" s="63">
        <f>E163</f>
        <v>256</v>
      </c>
      <c r="F164" s="65"/>
      <c r="G164" s="64"/>
      <c r="H164" s="64"/>
      <c r="I164" s="64"/>
      <c r="J164" s="64"/>
      <c r="K164" s="64"/>
      <c r="L164" s="64"/>
      <c r="M164" s="64"/>
      <c r="N164" s="64"/>
      <c r="O164" s="64"/>
      <c r="P164" s="64"/>
    </row>
    <row r="165" spans="1:16" x14ac:dyDescent="0.2">
      <c r="A165" s="80">
        <f>IF(D165="","",COUNTIF(B$13:$B165,"l.c"))</f>
        <v>100</v>
      </c>
      <c r="B165" s="80" t="str">
        <f t="shared" si="17"/>
        <v>l.c</v>
      </c>
      <c r="C165" s="14" t="s">
        <v>190</v>
      </c>
      <c r="D165" s="13" t="s">
        <v>93</v>
      </c>
      <c r="E165" s="63">
        <f>E163*0.3</f>
        <v>76.8</v>
      </c>
      <c r="F165" s="65"/>
      <c r="G165" s="64"/>
      <c r="H165" s="64"/>
      <c r="I165" s="64"/>
      <c r="J165" s="64"/>
      <c r="K165" s="64"/>
      <c r="L165" s="64"/>
      <c r="M165" s="64"/>
      <c r="N165" s="64"/>
      <c r="O165" s="64"/>
      <c r="P165" s="64"/>
    </row>
    <row r="166" spans="1:16" x14ac:dyDescent="0.2">
      <c r="A166" s="80">
        <f>IF(D166="","",COUNTIF(B$13:$B166,"l.c"))</f>
        <v>101</v>
      </c>
      <c r="B166" s="80" t="str">
        <f>IF(D166="","","l.c")</f>
        <v>l.c</v>
      </c>
      <c r="C166" s="14" t="s">
        <v>191</v>
      </c>
      <c r="D166" s="13" t="s">
        <v>93</v>
      </c>
      <c r="E166" s="63">
        <f>E163*0.2</f>
        <v>51.2</v>
      </c>
      <c r="F166" s="65"/>
      <c r="G166" s="64"/>
      <c r="H166" s="64"/>
      <c r="I166" s="64"/>
      <c r="J166" s="64"/>
      <c r="K166" s="64"/>
      <c r="L166" s="64"/>
      <c r="M166" s="64"/>
      <c r="N166" s="64"/>
      <c r="O166" s="64"/>
      <c r="P166" s="64"/>
    </row>
    <row r="167" spans="1:16" x14ac:dyDescent="0.2">
      <c r="A167" s="80">
        <f>IF(D167="","",COUNTIF(B$13:$B167,"l.c"))</f>
        <v>102</v>
      </c>
      <c r="B167" s="80" t="str">
        <f t="shared" si="17"/>
        <v>l.c</v>
      </c>
      <c r="C167" s="14" t="s">
        <v>192</v>
      </c>
      <c r="D167" s="13" t="s">
        <v>116</v>
      </c>
      <c r="E167" s="63">
        <f>E163</f>
        <v>256</v>
      </c>
      <c r="F167" s="65"/>
      <c r="G167" s="64"/>
      <c r="H167" s="64"/>
      <c r="I167" s="64"/>
      <c r="J167" s="64"/>
      <c r="K167" s="64"/>
      <c r="L167" s="64"/>
      <c r="M167" s="64"/>
      <c r="N167" s="64"/>
      <c r="O167" s="64"/>
      <c r="P167" s="64"/>
    </row>
    <row r="168" spans="1:16" ht="24" x14ac:dyDescent="0.2">
      <c r="A168" s="80">
        <f>IF(D168="","",COUNTIF(B$13:$B168,"l.c"))</f>
        <v>103</v>
      </c>
      <c r="B168" s="80" t="str">
        <f t="shared" si="17"/>
        <v>l.c</v>
      </c>
      <c r="C168" s="14" t="s">
        <v>199</v>
      </c>
      <c r="D168" s="13" t="str">
        <f>D163</f>
        <v>m2</v>
      </c>
      <c r="E168" s="63">
        <f>E163</f>
        <v>256</v>
      </c>
      <c r="F168" s="65"/>
      <c r="G168" s="64"/>
      <c r="H168" s="64"/>
      <c r="I168" s="64"/>
      <c r="J168" s="64"/>
      <c r="K168" s="64"/>
      <c r="L168" s="64"/>
      <c r="M168" s="64"/>
      <c r="N168" s="64"/>
      <c r="O168" s="64"/>
      <c r="P168" s="64"/>
    </row>
    <row r="169" spans="1:16" ht="24" x14ac:dyDescent="0.2">
      <c r="A169" s="80">
        <f>IF(D169="","",COUNTIF(B$13:$B169,"l.c"))</f>
        <v>104</v>
      </c>
      <c r="B169" s="80" t="str">
        <f t="shared" si="17"/>
        <v>l.c</v>
      </c>
      <c r="C169" s="14" t="s">
        <v>200</v>
      </c>
      <c r="D169" s="13" t="s">
        <v>93</v>
      </c>
      <c r="E169" s="63">
        <f>E163*0.1</f>
        <v>25.6</v>
      </c>
      <c r="F169" s="65"/>
      <c r="G169" s="64"/>
      <c r="H169" s="64"/>
      <c r="I169" s="64"/>
      <c r="J169" s="64"/>
      <c r="K169" s="64"/>
      <c r="L169" s="64"/>
      <c r="M169" s="64"/>
      <c r="N169" s="64"/>
      <c r="O169" s="64"/>
      <c r="P169" s="64"/>
    </row>
    <row r="170" spans="1:16" x14ac:dyDescent="0.2">
      <c r="A170" s="80">
        <f>IF(D170="","",COUNTIF(B$13:$B170,"l.c"))</f>
        <v>105</v>
      </c>
      <c r="B170" s="80" t="str">
        <f t="shared" si="17"/>
        <v>l.c</v>
      </c>
      <c r="C170" s="14" t="s">
        <v>201</v>
      </c>
      <c r="D170" s="13" t="s">
        <v>93</v>
      </c>
      <c r="E170" s="63">
        <f>E169*1.05</f>
        <v>26.88</v>
      </c>
      <c r="F170" s="65"/>
      <c r="G170" s="64"/>
      <c r="H170" s="64"/>
      <c r="I170" s="64"/>
      <c r="J170" s="64"/>
      <c r="K170" s="64"/>
      <c r="L170" s="64"/>
      <c r="M170" s="64"/>
      <c r="N170" s="64"/>
      <c r="O170" s="64"/>
      <c r="P170" s="64"/>
    </row>
    <row r="171" spans="1:16" x14ac:dyDescent="0.2">
      <c r="A171" s="80">
        <f>IF(D171="","",COUNTIF(B$13:$B171,"l.c"))</f>
        <v>106</v>
      </c>
      <c r="B171" s="80" t="str">
        <f t="shared" si="17"/>
        <v>l.c</v>
      </c>
      <c r="C171" s="85" t="s">
        <v>202</v>
      </c>
      <c r="D171" s="13" t="s">
        <v>116</v>
      </c>
      <c r="E171" s="63">
        <f>E163</f>
        <v>256</v>
      </c>
      <c r="F171" s="65"/>
      <c r="G171" s="64"/>
      <c r="H171" s="64"/>
      <c r="I171" s="64"/>
      <c r="J171" s="64"/>
      <c r="K171" s="64"/>
      <c r="L171" s="64"/>
      <c r="M171" s="64"/>
      <c r="N171" s="64"/>
      <c r="O171" s="64"/>
      <c r="P171" s="64"/>
    </row>
    <row r="172" spans="1:16" x14ac:dyDescent="0.2">
      <c r="A172" s="80" t="str">
        <f>IF(D172="","",COUNTIF(B$13:$B172,"l.c"))</f>
        <v/>
      </c>
      <c r="B172" s="80" t="str">
        <f t="shared" si="17"/>
        <v/>
      </c>
      <c r="C172" s="14"/>
      <c r="D172" s="13"/>
      <c r="E172" s="63"/>
      <c r="F172" s="65"/>
      <c r="G172" s="64"/>
      <c r="H172" s="64"/>
      <c r="I172" s="64"/>
      <c r="J172" s="64"/>
      <c r="K172" s="64"/>
      <c r="L172" s="64"/>
      <c r="M172" s="64"/>
      <c r="N172" s="64"/>
      <c r="O172" s="64"/>
      <c r="P172" s="64"/>
    </row>
    <row r="173" spans="1:16" x14ac:dyDescent="0.2">
      <c r="A173" s="80"/>
      <c r="B173" s="80"/>
      <c r="C173" s="81" t="s">
        <v>203</v>
      </c>
      <c r="D173" s="76" t="s">
        <v>116</v>
      </c>
      <c r="E173" s="89">
        <f>211</f>
        <v>211</v>
      </c>
      <c r="F173" s="65"/>
      <c r="G173" s="64"/>
      <c r="H173" s="64"/>
      <c r="I173" s="64"/>
      <c r="J173" s="64"/>
      <c r="K173" s="64"/>
      <c r="L173" s="64"/>
      <c r="M173" s="64"/>
      <c r="N173" s="64"/>
      <c r="O173" s="64"/>
      <c r="P173" s="64"/>
    </row>
    <row r="174" spans="1:16" x14ac:dyDescent="0.2">
      <c r="A174" s="80">
        <f>IF(D174="","",COUNTIF(B$13:$B174,"l.c"))</f>
        <v>107</v>
      </c>
      <c r="B174" s="80" t="str">
        <f t="shared" si="17"/>
        <v>l.c</v>
      </c>
      <c r="C174" s="14" t="s">
        <v>130</v>
      </c>
      <c r="D174" s="13" t="s">
        <v>116</v>
      </c>
      <c r="E174" s="63">
        <f>E173</f>
        <v>211</v>
      </c>
      <c r="F174" s="65"/>
      <c r="G174" s="64"/>
      <c r="H174" s="64"/>
      <c r="I174" s="64"/>
      <c r="J174" s="64"/>
      <c r="K174" s="64"/>
      <c r="L174" s="64"/>
      <c r="M174" s="64"/>
      <c r="N174" s="64"/>
      <c r="O174" s="64"/>
      <c r="P174" s="64"/>
    </row>
    <row r="175" spans="1:16" x14ac:dyDescent="0.2">
      <c r="A175" s="80">
        <f>IF(D175="","",COUNTIF(B$13:$B175,"l.c"))</f>
        <v>108</v>
      </c>
      <c r="B175" s="80" t="str">
        <f t="shared" si="17"/>
        <v>l.c</v>
      </c>
      <c r="C175" s="14" t="s">
        <v>190</v>
      </c>
      <c r="D175" s="13" t="s">
        <v>93</v>
      </c>
      <c r="E175" s="63">
        <f>E173*0.3</f>
        <v>63.3</v>
      </c>
      <c r="F175" s="65"/>
      <c r="G175" s="64"/>
      <c r="H175" s="64"/>
      <c r="I175" s="64"/>
      <c r="J175" s="64"/>
      <c r="K175" s="64"/>
      <c r="L175" s="64"/>
      <c r="M175" s="64"/>
      <c r="N175" s="64"/>
      <c r="O175" s="64"/>
      <c r="P175" s="64"/>
    </row>
    <row r="176" spans="1:16" x14ac:dyDescent="0.2">
      <c r="A176" s="80">
        <f>IF(D176="","",COUNTIF(B$13:$B176,"l.c"))</f>
        <v>109</v>
      </c>
      <c r="B176" s="80" t="str">
        <f t="shared" si="17"/>
        <v>l.c</v>
      </c>
      <c r="C176" s="14" t="s">
        <v>191</v>
      </c>
      <c r="D176" s="13" t="s">
        <v>93</v>
      </c>
      <c r="E176" s="63">
        <f>E173*0.2</f>
        <v>42.2</v>
      </c>
      <c r="F176" s="65"/>
      <c r="G176" s="64"/>
      <c r="H176" s="64"/>
      <c r="I176" s="64"/>
      <c r="J176" s="64"/>
      <c r="K176" s="64"/>
      <c r="L176" s="64"/>
      <c r="M176" s="64"/>
      <c r="N176" s="64"/>
      <c r="O176" s="64"/>
      <c r="P176" s="64"/>
    </row>
    <row r="177" spans="1:16" x14ac:dyDescent="0.2">
      <c r="A177" s="80">
        <f>IF(D177="","",COUNTIF(B$13:$B177,"l.c"))</f>
        <v>110</v>
      </c>
      <c r="B177" s="80" t="str">
        <f t="shared" si="17"/>
        <v>l.c</v>
      </c>
      <c r="C177" s="14" t="s">
        <v>192</v>
      </c>
      <c r="D177" s="13" t="s">
        <v>116</v>
      </c>
      <c r="E177" s="63">
        <f>E173</f>
        <v>211</v>
      </c>
      <c r="F177" s="65"/>
      <c r="G177" s="64"/>
      <c r="H177" s="64"/>
      <c r="I177" s="64"/>
      <c r="J177" s="64"/>
      <c r="K177" s="64"/>
      <c r="L177" s="64"/>
      <c r="M177" s="64"/>
      <c r="N177" s="64"/>
      <c r="O177" s="64"/>
      <c r="P177" s="64"/>
    </row>
    <row r="178" spans="1:16" ht="24" x14ac:dyDescent="0.2">
      <c r="A178" s="80">
        <f>IF(D178="","",COUNTIF(B$13:$B178,"l.c"))</f>
        <v>111</v>
      </c>
      <c r="B178" s="80" t="str">
        <f t="shared" si="17"/>
        <v>l.c</v>
      </c>
      <c r="C178" s="14" t="s">
        <v>199</v>
      </c>
      <c r="D178" s="13" t="str">
        <f>D173</f>
        <v>m2</v>
      </c>
      <c r="E178" s="63">
        <f>E173</f>
        <v>211</v>
      </c>
      <c r="F178" s="65"/>
      <c r="G178" s="64"/>
      <c r="H178" s="64"/>
      <c r="I178" s="64"/>
      <c r="J178" s="64"/>
      <c r="K178" s="64"/>
      <c r="L178" s="64"/>
      <c r="M178" s="64"/>
      <c r="N178" s="64"/>
      <c r="O178" s="64"/>
      <c r="P178" s="64"/>
    </row>
    <row r="179" spans="1:16" ht="24" x14ac:dyDescent="0.2">
      <c r="A179" s="80">
        <f>IF(D179="","",COUNTIF(B$13:$B179,"l.c"))</f>
        <v>112</v>
      </c>
      <c r="B179" s="80" t="str">
        <f t="shared" si="17"/>
        <v>l.c</v>
      </c>
      <c r="C179" s="14" t="s">
        <v>204</v>
      </c>
      <c r="D179" s="13" t="s">
        <v>93</v>
      </c>
      <c r="E179" s="63">
        <f>E173*0.08</f>
        <v>16.88</v>
      </c>
      <c r="F179" s="65"/>
      <c r="G179" s="64"/>
      <c r="H179" s="64"/>
      <c r="I179" s="64"/>
      <c r="J179" s="64"/>
      <c r="K179" s="64"/>
      <c r="L179" s="64"/>
      <c r="M179" s="64"/>
      <c r="N179" s="64"/>
      <c r="O179" s="64"/>
      <c r="P179" s="64"/>
    </row>
    <row r="180" spans="1:16" x14ac:dyDescent="0.2">
      <c r="A180" s="80">
        <f>IF(D180="","",COUNTIF(B$13:$B180,"l.c"))</f>
        <v>113</v>
      </c>
      <c r="B180" s="80" t="str">
        <f t="shared" si="17"/>
        <v>l.c</v>
      </c>
      <c r="C180" s="14" t="s">
        <v>201</v>
      </c>
      <c r="D180" s="13" t="s">
        <v>93</v>
      </c>
      <c r="E180" s="63">
        <f>E179*1.05</f>
        <v>17.72</v>
      </c>
      <c r="F180" s="65"/>
      <c r="G180" s="64"/>
      <c r="H180" s="64"/>
      <c r="I180" s="64"/>
      <c r="J180" s="64"/>
      <c r="K180" s="64"/>
      <c r="L180" s="64"/>
      <c r="M180" s="64"/>
      <c r="N180" s="64"/>
      <c r="O180" s="64"/>
      <c r="P180" s="64"/>
    </row>
    <row r="181" spans="1:16" x14ac:dyDescent="0.2">
      <c r="A181" s="80">
        <f>IF(D181="","",COUNTIF(B$13:$B181,"l.c"))</f>
        <v>114</v>
      </c>
      <c r="B181" s="80" t="str">
        <f>IF(D181="","","l.c")</f>
        <v>l.c</v>
      </c>
      <c r="C181" s="14" t="s">
        <v>205</v>
      </c>
      <c r="D181" s="13" t="str">
        <f>D173</f>
        <v>m2</v>
      </c>
      <c r="E181" s="63">
        <f>E173</f>
        <v>211</v>
      </c>
      <c r="F181" s="65"/>
      <c r="G181" s="64"/>
      <c r="H181" s="64"/>
      <c r="I181" s="64"/>
      <c r="J181" s="64"/>
      <c r="K181" s="64"/>
      <c r="L181" s="64"/>
      <c r="M181" s="64"/>
      <c r="N181" s="64"/>
      <c r="O181" s="64"/>
      <c r="P181" s="64"/>
    </row>
    <row r="182" spans="1:16" x14ac:dyDescent="0.2">
      <c r="A182" s="80" t="str">
        <f>IF(D182="","",COUNTIF(B$13:$B182,"l.c"))</f>
        <v/>
      </c>
      <c r="B182" s="80" t="str">
        <f t="shared" si="17"/>
        <v/>
      </c>
      <c r="C182" s="14"/>
      <c r="D182" s="13"/>
      <c r="E182" s="63"/>
      <c r="F182" s="65"/>
      <c r="G182" s="64"/>
      <c r="H182" s="64"/>
      <c r="I182" s="64"/>
      <c r="J182" s="64"/>
      <c r="K182" s="64"/>
      <c r="L182" s="64"/>
      <c r="M182" s="64"/>
      <c r="N182" s="64"/>
      <c r="O182" s="64"/>
      <c r="P182" s="64"/>
    </row>
    <row r="183" spans="1:16" x14ac:dyDescent="0.2">
      <c r="A183" s="80"/>
      <c r="B183" s="80"/>
      <c r="C183" s="81" t="s">
        <v>206</v>
      </c>
      <c r="D183" s="76" t="s">
        <v>116</v>
      </c>
      <c r="E183" s="89">
        <f>66</f>
        <v>66</v>
      </c>
      <c r="F183" s="65"/>
      <c r="G183" s="64"/>
      <c r="H183" s="64"/>
      <c r="I183" s="64"/>
      <c r="J183" s="64"/>
      <c r="K183" s="64"/>
      <c r="L183" s="64"/>
      <c r="M183" s="64"/>
      <c r="N183" s="64"/>
      <c r="O183" s="64"/>
      <c r="P183" s="64"/>
    </row>
    <row r="184" spans="1:16" x14ac:dyDescent="0.2">
      <c r="A184" s="80">
        <f>IF(D184="","",COUNTIF(B$13:$B184,"l.c"))</f>
        <v>115</v>
      </c>
      <c r="B184" s="80" t="str">
        <f t="shared" si="17"/>
        <v>l.c</v>
      </c>
      <c r="C184" s="14" t="s">
        <v>130</v>
      </c>
      <c r="D184" s="13" t="s">
        <v>116</v>
      </c>
      <c r="E184" s="63">
        <f>E183</f>
        <v>66</v>
      </c>
      <c r="F184" s="65"/>
      <c r="G184" s="64"/>
      <c r="H184" s="64"/>
      <c r="I184" s="64"/>
      <c r="J184" s="64"/>
      <c r="K184" s="64"/>
      <c r="L184" s="64"/>
      <c r="M184" s="64"/>
      <c r="N184" s="64"/>
      <c r="O184" s="64"/>
      <c r="P184" s="64"/>
    </row>
    <row r="185" spans="1:16" x14ac:dyDescent="0.2">
      <c r="A185" s="80">
        <f>IF(D185="","",COUNTIF(B$13:$B185,"l.c"))</f>
        <v>116</v>
      </c>
      <c r="B185" s="80" t="str">
        <f t="shared" si="17"/>
        <v>l.c</v>
      </c>
      <c r="C185" s="14" t="s">
        <v>190</v>
      </c>
      <c r="D185" s="13" t="s">
        <v>93</v>
      </c>
      <c r="E185" s="63">
        <f>E183*0.3</f>
        <v>19.8</v>
      </c>
      <c r="F185" s="65"/>
      <c r="G185" s="64"/>
      <c r="H185" s="64"/>
      <c r="I185" s="64"/>
      <c r="J185" s="64"/>
      <c r="K185" s="64"/>
      <c r="L185" s="64"/>
      <c r="M185" s="64"/>
      <c r="N185" s="64"/>
      <c r="O185" s="64"/>
      <c r="P185" s="64"/>
    </row>
    <row r="186" spans="1:16" x14ac:dyDescent="0.2">
      <c r="A186" s="80">
        <f>IF(D186="","",COUNTIF(B$13:$B186,"l.c"))</f>
        <v>117</v>
      </c>
      <c r="B186" s="80" t="str">
        <f>IF(D186="","","l.c")</f>
        <v>l.c</v>
      </c>
      <c r="C186" s="14" t="s">
        <v>191</v>
      </c>
      <c r="D186" s="13" t="s">
        <v>93</v>
      </c>
      <c r="E186" s="63">
        <f>E183*0.2</f>
        <v>13.2</v>
      </c>
      <c r="F186" s="65"/>
      <c r="G186" s="64"/>
      <c r="H186" s="64"/>
      <c r="I186" s="64"/>
      <c r="J186" s="64"/>
      <c r="K186" s="64"/>
      <c r="L186" s="64"/>
      <c r="M186" s="64"/>
      <c r="N186" s="64"/>
      <c r="O186" s="64"/>
      <c r="P186" s="64"/>
    </row>
    <row r="187" spans="1:16" x14ac:dyDescent="0.2">
      <c r="A187" s="80">
        <f>IF(D187="","",COUNTIF(B$13:$B187,"l.c"))</f>
        <v>118</v>
      </c>
      <c r="B187" s="80" t="str">
        <f t="shared" si="17"/>
        <v>l.c</v>
      </c>
      <c r="C187" s="14" t="s">
        <v>192</v>
      </c>
      <c r="D187" s="13" t="s">
        <v>116</v>
      </c>
      <c r="E187" s="63">
        <f>E183</f>
        <v>66</v>
      </c>
      <c r="F187" s="65"/>
      <c r="G187" s="64"/>
      <c r="H187" s="64"/>
      <c r="I187" s="64"/>
      <c r="J187" s="64"/>
      <c r="K187" s="64"/>
      <c r="L187" s="64"/>
      <c r="M187" s="64"/>
      <c r="N187" s="64"/>
      <c r="O187" s="64"/>
      <c r="P187" s="64"/>
    </row>
    <row r="188" spans="1:16" ht="24" x14ac:dyDescent="0.2">
      <c r="A188" s="80">
        <f>IF(D188="","",COUNTIF(B$13:$B188,"l.c"))</f>
        <v>119</v>
      </c>
      <c r="B188" s="80" t="str">
        <f t="shared" si="17"/>
        <v>l.c</v>
      </c>
      <c r="C188" s="14" t="s">
        <v>199</v>
      </c>
      <c r="D188" s="13" t="str">
        <f>D183</f>
        <v>m2</v>
      </c>
      <c r="E188" s="63">
        <f>E183</f>
        <v>66</v>
      </c>
      <c r="F188" s="65"/>
      <c r="G188" s="64"/>
      <c r="H188" s="64"/>
      <c r="I188" s="64"/>
      <c r="J188" s="64"/>
      <c r="K188" s="64"/>
      <c r="L188" s="64"/>
      <c r="M188" s="64"/>
      <c r="N188" s="64"/>
      <c r="O188" s="64"/>
      <c r="P188" s="64"/>
    </row>
    <row r="189" spans="1:16" ht="24" x14ac:dyDescent="0.2">
      <c r="A189" s="80">
        <f>IF(D189="","",COUNTIF(B$13:$B189,"l.c"))</f>
        <v>120</v>
      </c>
      <c r="B189" s="80" t="str">
        <f t="shared" si="17"/>
        <v>l.c</v>
      </c>
      <c r="C189" s="14" t="s">
        <v>200</v>
      </c>
      <c r="D189" s="13" t="s">
        <v>93</v>
      </c>
      <c r="E189" s="63">
        <f>E183*0.1</f>
        <v>6.6</v>
      </c>
      <c r="F189" s="65"/>
      <c r="G189" s="64"/>
      <c r="H189" s="64"/>
      <c r="I189" s="64"/>
      <c r="J189" s="64"/>
      <c r="K189" s="64"/>
      <c r="L189" s="64"/>
      <c r="M189" s="64"/>
      <c r="N189" s="64"/>
      <c r="O189" s="64"/>
      <c r="P189" s="64"/>
    </row>
    <row r="190" spans="1:16" x14ac:dyDescent="0.2">
      <c r="A190" s="80">
        <f>IF(D190="","",COUNTIF(B$13:$B190,"l.c"))</f>
        <v>121</v>
      </c>
      <c r="B190" s="80" t="str">
        <f t="shared" si="17"/>
        <v>l.c</v>
      </c>
      <c r="C190" s="14" t="s">
        <v>201</v>
      </c>
      <c r="D190" s="13" t="s">
        <v>93</v>
      </c>
      <c r="E190" s="63">
        <f>E189*1.05</f>
        <v>6.93</v>
      </c>
      <c r="F190" s="65"/>
      <c r="G190" s="64"/>
      <c r="H190" s="64"/>
      <c r="I190" s="64"/>
      <c r="J190" s="64"/>
      <c r="K190" s="64"/>
      <c r="L190" s="64"/>
      <c r="M190" s="64"/>
      <c r="N190" s="64"/>
      <c r="O190" s="64"/>
      <c r="P190" s="64"/>
    </row>
    <row r="191" spans="1:16" x14ac:dyDescent="0.2">
      <c r="A191" s="80">
        <f>IF(D191="","",COUNTIF(B$13:$B191,"l.c"))</f>
        <v>122</v>
      </c>
      <c r="B191" s="80" t="str">
        <f t="shared" si="17"/>
        <v>l.c</v>
      </c>
      <c r="C191" s="85" t="s">
        <v>207</v>
      </c>
      <c r="D191" s="13" t="s">
        <v>116</v>
      </c>
      <c r="E191" s="63">
        <f>E183</f>
        <v>66</v>
      </c>
      <c r="F191" s="65"/>
      <c r="G191" s="64"/>
      <c r="H191" s="64"/>
      <c r="I191" s="64"/>
      <c r="J191" s="64"/>
      <c r="K191" s="64"/>
      <c r="L191" s="64"/>
      <c r="M191" s="64"/>
      <c r="N191" s="64"/>
      <c r="O191" s="64"/>
      <c r="P191" s="64"/>
    </row>
    <row r="192" spans="1:16" x14ac:dyDescent="0.2">
      <c r="A192" s="80" t="str">
        <f>IF(D192="","",COUNTIF(B$13:$B192,"l.c"))</f>
        <v/>
      </c>
      <c r="B192" s="80" t="str">
        <f t="shared" si="17"/>
        <v/>
      </c>
      <c r="C192" s="14"/>
      <c r="D192" s="13"/>
      <c r="E192" s="63"/>
      <c r="F192" s="65"/>
      <c r="G192" s="64"/>
      <c r="H192" s="64"/>
      <c r="I192" s="64"/>
      <c r="J192" s="64"/>
      <c r="K192" s="64"/>
      <c r="L192" s="64"/>
      <c r="M192" s="64"/>
      <c r="N192" s="64"/>
      <c r="O192" s="64"/>
      <c r="P192" s="64"/>
    </row>
    <row r="193" spans="1:16" x14ac:dyDescent="0.2">
      <c r="A193" s="80"/>
      <c r="B193" s="80"/>
      <c r="C193" s="81" t="s">
        <v>208</v>
      </c>
      <c r="D193" s="76" t="s">
        <v>116</v>
      </c>
      <c r="E193" s="89">
        <f>17</f>
        <v>17</v>
      </c>
      <c r="F193" s="65"/>
      <c r="G193" s="64"/>
      <c r="H193" s="64"/>
      <c r="I193" s="64"/>
      <c r="J193" s="64"/>
      <c r="K193" s="64"/>
      <c r="L193" s="64"/>
      <c r="M193" s="64"/>
      <c r="N193" s="64"/>
      <c r="O193" s="64"/>
      <c r="P193" s="64"/>
    </row>
    <row r="194" spans="1:16" x14ac:dyDescent="0.2">
      <c r="A194" s="80">
        <f>IF(D194="","",COUNTIF(B$13:$B194,"l.c"))</f>
        <v>123</v>
      </c>
      <c r="B194" s="80" t="str">
        <f t="shared" si="17"/>
        <v>l.c</v>
      </c>
      <c r="C194" s="14" t="s">
        <v>130</v>
      </c>
      <c r="D194" s="13" t="s">
        <v>116</v>
      </c>
      <c r="E194" s="63">
        <f>E193</f>
        <v>17</v>
      </c>
      <c r="F194" s="65"/>
      <c r="G194" s="64"/>
      <c r="H194" s="64"/>
      <c r="I194" s="64"/>
      <c r="J194" s="64"/>
      <c r="K194" s="64"/>
      <c r="L194" s="64"/>
      <c r="M194" s="64"/>
      <c r="N194" s="64"/>
      <c r="O194" s="64"/>
      <c r="P194" s="64"/>
    </row>
    <row r="195" spans="1:16" x14ac:dyDescent="0.2">
      <c r="A195" s="80">
        <f>IF(D195="","",COUNTIF(B$13:$B195,"l.c"))</f>
        <v>124</v>
      </c>
      <c r="B195" s="80" t="str">
        <f t="shared" si="17"/>
        <v>l.c</v>
      </c>
      <c r="C195" s="14" t="s">
        <v>190</v>
      </c>
      <c r="D195" s="13" t="s">
        <v>93</v>
      </c>
      <c r="E195" s="63">
        <f>E193*0.3</f>
        <v>5.0999999999999996</v>
      </c>
      <c r="F195" s="65"/>
      <c r="G195" s="64"/>
      <c r="H195" s="64"/>
      <c r="I195" s="64"/>
      <c r="J195" s="64"/>
      <c r="K195" s="64"/>
      <c r="L195" s="64"/>
      <c r="M195" s="64"/>
      <c r="N195" s="64"/>
      <c r="O195" s="64"/>
      <c r="P195" s="64"/>
    </row>
    <row r="196" spans="1:16" x14ac:dyDescent="0.2">
      <c r="A196" s="80">
        <f>IF(D196="","",COUNTIF(B$13:$B196,"l.c"))</f>
        <v>125</v>
      </c>
      <c r="B196" s="80" t="str">
        <f t="shared" si="17"/>
        <v>l.c</v>
      </c>
      <c r="C196" s="14" t="s">
        <v>191</v>
      </c>
      <c r="D196" s="13" t="s">
        <v>93</v>
      </c>
      <c r="E196" s="63">
        <f>E193*0.2</f>
        <v>3.4</v>
      </c>
      <c r="F196" s="65"/>
      <c r="G196" s="64"/>
      <c r="H196" s="64"/>
      <c r="I196" s="64"/>
      <c r="J196" s="64"/>
      <c r="K196" s="64"/>
      <c r="L196" s="64"/>
      <c r="M196" s="64"/>
      <c r="N196" s="64"/>
      <c r="O196" s="64"/>
      <c r="P196" s="64"/>
    </row>
    <row r="197" spans="1:16" x14ac:dyDescent="0.2">
      <c r="A197" s="80">
        <f>IF(D197="","",COUNTIF(B$13:$B197,"l.c"))</f>
        <v>126</v>
      </c>
      <c r="B197" s="80" t="str">
        <f t="shared" si="17"/>
        <v>l.c</v>
      </c>
      <c r="C197" s="14" t="s">
        <v>192</v>
      </c>
      <c r="D197" s="13" t="s">
        <v>116</v>
      </c>
      <c r="E197" s="63">
        <f>E193</f>
        <v>17</v>
      </c>
      <c r="F197" s="65"/>
      <c r="G197" s="64"/>
      <c r="H197" s="64"/>
      <c r="I197" s="64"/>
      <c r="J197" s="64"/>
      <c r="K197" s="64"/>
      <c r="L197" s="64"/>
      <c r="M197" s="64"/>
      <c r="N197" s="64"/>
      <c r="O197" s="64"/>
      <c r="P197" s="64"/>
    </row>
    <row r="198" spans="1:16" ht="24" x14ac:dyDescent="0.2">
      <c r="A198" s="80">
        <f>IF(D198="","",COUNTIF(B$13:$B198,"l.c"))</f>
        <v>127</v>
      </c>
      <c r="B198" s="80" t="str">
        <f t="shared" si="17"/>
        <v>l.c</v>
      </c>
      <c r="C198" s="14" t="s">
        <v>199</v>
      </c>
      <c r="D198" s="13" t="str">
        <f>D193</f>
        <v>m2</v>
      </c>
      <c r="E198" s="63">
        <f>E193</f>
        <v>17</v>
      </c>
      <c r="F198" s="65"/>
      <c r="G198" s="64"/>
      <c r="H198" s="64"/>
      <c r="I198" s="64"/>
      <c r="J198" s="64"/>
      <c r="K198" s="64"/>
      <c r="L198" s="64"/>
      <c r="M198" s="64"/>
      <c r="N198" s="64"/>
      <c r="O198" s="64"/>
      <c r="P198" s="64"/>
    </row>
    <row r="199" spans="1:16" ht="24" x14ac:dyDescent="0.2">
      <c r="A199" s="80">
        <f>IF(D199="","",COUNTIF(B$13:$B199,"l.c"))</f>
        <v>128</v>
      </c>
      <c r="B199" s="80" t="str">
        <f t="shared" si="17"/>
        <v>l.c</v>
      </c>
      <c r="C199" s="14" t="s">
        <v>209</v>
      </c>
      <c r="D199" s="13" t="s">
        <v>93</v>
      </c>
      <c r="E199" s="63">
        <f>E193*0.1</f>
        <v>1.7</v>
      </c>
      <c r="F199" s="65"/>
      <c r="G199" s="64"/>
      <c r="H199" s="64"/>
      <c r="I199" s="64"/>
      <c r="J199" s="64"/>
      <c r="K199" s="64"/>
      <c r="L199" s="64"/>
      <c r="M199" s="64"/>
      <c r="N199" s="64"/>
      <c r="O199" s="64"/>
      <c r="P199" s="64"/>
    </row>
    <row r="200" spans="1:16" x14ac:dyDescent="0.2">
      <c r="A200" s="80">
        <f>IF(D200="","",COUNTIF(B$13:$B200,"l.c"))</f>
        <v>129</v>
      </c>
      <c r="B200" s="80" t="str">
        <f t="shared" si="17"/>
        <v>l.c</v>
      </c>
      <c r="C200" s="14" t="s">
        <v>210</v>
      </c>
      <c r="D200" s="13" t="s">
        <v>93</v>
      </c>
      <c r="E200" s="63">
        <f>E199*1.05</f>
        <v>1.79</v>
      </c>
      <c r="F200" s="65"/>
      <c r="G200" s="64"/>
      <c r="H200" s="64"/>
      <c r="I200" s="64"/>
      <c r="J200" s="64"/>
      <c r="K200" s="64"/>
      <c r="L200" s="64"/>
      <c r="M200" s="64"/>
      <c r="N200" s="64"/>
      <c r="O200" s="64"/>
      <c r="P200" s="64"/>
    </row>
    <row r="201" spans="1:16" x14ac:dyDescent="0.2">
      <c r="A201" s="80" t="str">
        <f>IF(D201="","",COUNTIF(B$13:$B201,"l.c"))</f>
        <v/>
      </c>
      <c r="B201" s="80" t="str">
        <f t="shared" ref="B201:B255" si="18">IF(D201="","","l.c")</f>
        <v/>
      </c>
      <c r="C201" s="85"/>
      <c r="D201" s="13"/>
      <c r="E201" s="63"/>
      <c r="F201" s="65"/>
      <c r="G201" s="64"/>
      <c r="H201" s="64"/>
      <c r="I201" s="64"/>
      <c r="J201" s="64"/>
      <c r="K201" s="64"/>
      <c r="L201" s="64"/>
      <c r="M201" s="64"/>
      <c r="N201" s="64"/>
      <c r="O201" s="64"/>
      <c r="P201" s="64"/>
    </row>
    <row r="202" spans="1:16" x14ac:dyDescent="0.2">
      <c r="A202" s="80" t="str">
        <f>IF(D202="","",COUNTIF(B$13:$B202,"l.c"))</f>
        <v/>
      </c>
      <c r="B202" s="80" t="str">
        <f t="shared" si="18"/>
        <v/>
      </c>
      <c r="C202" s="14"/>
      <c r="D202" s="13"/>
      <c r="E202" s="63"/>
      <c r="F202" s="65"/>
      <c r="G202" s="64"/>
      <c r="H202" s="64"/>
      <c r="I202" s="64"/>
      <c r="J202" s="64"/>
      <c r="K202" s="64"/>
      <c r="L202" s="64"/>
      <c r="M202" s="64"/>
      <c r="N202" s="64"/>
      <c r="O202" s="64"/>
      <c r="P202" s="64"/>
    </row>
    <row r="203" spans="1:16" x14ac:dyDescent="0.2">
      <c r="A203" s="80"/>
      <c r="B203" s="80"/>
      <c r="C203" s="81" t="s">
        <v>211</v>
      </c>
      <c r="D203" s="76" t="s">
        <v>116</v>
      </c>
      <c r="E203" s="89">
        <f>42</f>
        <v>42</v>
      </c>
      <c r="F203" s="65"/>
      <c r="G203" s="64"/>
      <c r="H203" s="64"/>
      <c r="I203" s="64"/>
      <c r="J203" s="64"/>
      <c r="K203" s="64"/>
      <c r="L203" s="64"/>
      <c r="M203" s="64"/>
      <c r="N203" s="64"/>
      <c r="O203" s="64"/>
      <c r="P203" s="64"/>
    </row>
    <row r="204" spans="1:16" x14ac:dyDescent="0.2">
      <c r="A204" s="80">
        <f>IF(D204="","",COUNTIF(B$13:$B204,"l.c"))</f>
        <v>130</v>
      </c>
      <c r="B204" s="80" t="str">
        <f t="shared" si="18"/>
        <v>l.c</v>
      </c>
      <c r="C204" s="14" t="s">
        <v>130</v>
      </c>
      <c r="D204" s="13" t="s">
        <v>116</v>
      </c>
      <c r="E204" s="63">
        <f>E203</f>
        <v>42</v>
      </c>
      <c r="F204" s="65"/>
      <c r="G204" s="64"/>
      <c r="H204" s="64"/>
      <c r="I204" s="64"/>
      <c r="J204" s="64"/>
      <c r="K204" s="64"/>
      <c r="L204" s="64"/>
      <c r="M204" s="64"/>
      <c r="N204" s="64"/>
      <c r="O204" s="64"/>
      <c r="P204" s="64"/>
    </row>
    <row r="205" spans="1:16" x14ac:dyDescent="0.2">
      <c r="A205" s="80">
        <f>IF(D205="","",COUNTIF(B$13:$B205,"l.c"))</f>
        <v>131</v>
      </c>
      <c r="B205" s="80" t="str">
        <f t="shared" si="18"/>
        <v>l.c</v>
      </c>
      <c r="C205" s="14" t="s">
        <v>190</v>
      </c>
      <c r="D205" s="13" t="s">
        <v>93</v>
      </c>
      <c r="E205" s="63">
        <f>E203*0.3</f>
        <v>12.6</v>
      </c>
      <c r="F205" s="65"/>
      <c r="G205" s="64"/>
      <c r="H205" s="64"/>
      <c r="I205" s="64"/>
      <c r="J205" s="64"/>
      <c r="K205" s="64"/>
      <c r="L205" s="64"/>
      <c r="M205" s="64"/>
      <c r="N205" s="64"/>
      <c r="O205" s="64"/>
      <c r="P205" s="64"/>
    </row>
    <row r="206" spans="1:16" x14ac:dyDescent="0.2">
      <c r="A206" s="80">
        <f>IF(D206="","",COUNTIF(B$13:$B206,"l.c"))</f>
        <v>132</v>
      </c>
      <c r="B206" s="80" t="str">
        <f t="shared" si="18"/>
        <v>l.c</v>
      </c>
      <c r="C206" s="14" t="s">
        <v>191</v>
      </c>
      <c r="D206" s="13" t="s">
        <v>93</v>
      </c>
      <c r="E206" s="63">
        <f>E203*0.2</f>
        <v>8.4</v>
      </c>
      <c r="F206" s="65"/>
      <c r="G206" s="64"/>
      <c r="H206" s="64"/>
      <c r="I206" s="64"/>
      <c r="J206" s="64"/>
      <c r="K206" s="64"/>
      <c r="L206" s="64"/>
      <c r="M206" s="64"/>
      <c r="N206" s="64"/>
      <c r="O206" s="64"/>
      <c r="P206" s="64"/>
    </row>
    <row r="207" spans="1:16" x14ac:dyDescent="0.2">
      <c r="A207" s="80">
        <f>IF(D207="","",COUNTIF(B$13:$B207,"l.c"))</f>
        <v>133</v>
      </c>
      <c r="B207" s="80" t="str">
        <f>IF(D207="","","l.c")</f>
        <v>l.c</v>
      </c>
      <c r="C207" s="14" t="s">
        <v>212</v>
      </c>
      <c r="D207" s="13" t="s">
        <v>116</v>
      </c>
      <c r="E207" s="63">
        <f>E203</f>
        <v>42</v>
      </c>
      <c r="F207" s="65"/>
      <c r="G207" s="64"/>
      <c r="H207" s="64"/>
      <c r="I207" s="64"/>
      <c r="J207" s="64"/>
      <c r="K207" s="64"/>
      <c r="L207" s="64"/>
      <c r="M207" s="64"/>
      <c r="N207" s="64"/>
      <c r="O207" s="64"/>
      <c r="P207" s="64"/>
    </row>
    <row r="208" spans="1:16" x14ac:dyDescent="0.2">
      <c r="A208" s="80">
        <f>IF(D208="","",COUNTIF(B$13:$B208,"l.c"))</f>
        <v>134</v>
      </c>
      <c r="B208" s="80" t="str">
        <f t="shared" si="18"/>
        <v>l.c</v>
      </c>
      <c r="C208" s="14" t="s">
        <v>192</v>
      </c>
      <c r="D208" s="13" t="s">
        <v>116</v>
      </c>
      <c r="E208" s="63">
        <f>E203</f>
        <v>42</v>
      </c>
      <c r="F208" s="65"/>
      <c r="G208" s="64"/>
      <c r="H208" s="64"/>
      <c r="I208" s="64"/>
      <c r="J208" s="64"/>
      <c r="K208" s="64"/>
      <c r="L208" s="64"/>
      <c r="M208" s="64"/>
      <c r="N208" s="64"/>
      <c r="O208" s="64"/>
      <c r="P208" s="64"/>
    </row>
    <row r="209" spans="1:16" ht="24" x14ac:dyDescent="0.2">
      <c r="A209" s="80">
        <f>IF(D209="","",COUNTIF(B$13:$B209,"l.c"))</f>
        <v>135</v>
      </c>
      <c r="B209" s="80" t="str">
        <f t="shared" si="18"/>
        <v>l.c</v>
      </c>
      <c r="C209" s="14" t="s">
        <v>199</v>
      </c>
      <c r="D209" s="13" t="str">
        <f>D203</f>
        <v>m2</v>
      </c>
      <c r="E209" s="63">
        <f>E203</f>
        <v>42</v>
      </c>
      <c r="F209" s="65"/>
      <c r="G209" s="64"/>
      <c r="H209" s="64"/>
      <c r="I209" s="64"/>
      <c r="J209" s="64"/>
      <c r="K209" s="64"/>
      <c r="L209" s="64"/>
      <c r="M209" s="64"/>
      <c r="N209" s="64"/>
      <c r="O209" s="64"/>
      <c r="P209" s="64"/>
    </row>
    <row r="210" spans="1:16" ht="24" x14ac:dyDescent="0.2">
      <c r="A210" s="80">
        <f>IF(D210="","",COUNTIF(B$13:$B210,"l.c"))</f>
        <v>136</v>
      </c>
      <c r="B210" s="80" t="str">
        <f t="shared" si="18"/>
        <v>l.c</v>
      </c>
      <c r="C210" s="14" t="s">
        <v>213</v>
      </c>
      <c r="D210" s="13" t="s">
        <v>93</v>
      </c>
      <c r="E210" s="63">
        <f>E203*0.1</f>
        <v>4.2</v>
      </c>
      <c r="F210" s="65"/>
      <c r="G210" s="64"/>
      <c r="H210" s="64"/>
      <c r="I210" s="64"/>
      <c r="J210" s="64"/>
      <c r="K210" s="64"/>
      <c r="L210" s="64"/>
      <c r="M210" s="64"/>
      <c r="N210" s="64"/>
      <c r="O210" s="64"/>
      <c r="P210" s="64"/>
    </row>
    <row r="211" spans="1:16" x14ac:dyDescent="0.2">
      <c r="A211" s="80">
        <f>IF(D211="","",COUNTIF(B$13:$B211,"l.c"))</f>
        <v>137</v>
      </c>
      <c r="B211" s="80" t="str">
        <f t="shared" si="18"/>
        <v>l.c</v>
      </c>
      <c r="C211" s="14" t="s">
        <v>201</v>
      </c>
      <c r="D211" s="13" t="s">
        <v>93</v>
      </c>
      <c r="E211" s="63">
        <f>E210*1.05</f>
        <v>4.41</v>
      </c>
      <c r="F211" s="65"/>
      <c r="G211" s="64"/>
      <c r="H211" s="64"/>
      <c r="I211" s="64"/>
      <c r="J211" s="64"/>
      <c r="K211" s="64"/>
      <c r="L211" s="64"/>
      <c r="M211" s="64"/>
      <c r="N211" s="64"/>
      <c r="O211" s="64"/>
      <c r="P211" s="64"/>
    </row>
    <row r="212" spans="1:16" x14ac:dyDescent="0.2">
      <c r="A212" s="80"/>
      <c r="B212" s="80"/>
      <c r="C212" s="85"/>
      <c r="D212" s="13"/>
      <c r="E212" s="63"/>
      <c r="F212" s="65"/>
      <c r="G212" s="64"/>
      <c r="H212" s="64"/>
      <c r="I212" s="64"/>
      <c r="J212" s="64"/>
      <c r="K212" s="64"/>
      <c r="L212" s="64"/>
      <c r="M212" s="64"/>
      <c r="N212" s="64"/>
      <c r="O212" s="64"/>
      <c r="P212" s="64"/>
    </row>
    <row r="213" spans="1:16" x14ac:dyDescent="0.2">
      <c r="A213" s="80" t="str">
        <f>IF(D213="","",COUNTIF(B$13:$B213,"l.c"))</f>
        <v/>
      </c>
      <c r="B213" s="80" t="str">
        <f>IF(D213="","","l.c")</f>
        <v/>
      </c>
      <c r="C213" s="14"/>
      <c r="D213" s="13"/>
      <c r="E213" s="63"/>
      <c r="F213" s="65"/>
      <c r="G213" s="64"/>
      <c r="H213" s="64"/>
      <c r="I213" s="64"/>
      <c r="J213" s="64"/>
      <c r="K213" s="64"/>
      <c r="L213" s="64"/>
      <c r="M213" s="64"/>
      <c r="N213" s="64"/>
      <c r="O213" s="64"/>
      <c r="P213" s="64"/>
    </row>
    <row r="214" spans="1:16" x14ac:dyDescent="0.2">
      <c r="A214" s="80"/>
      <c r="B214" s="80"/>
      <c r="C214" s="81" t="s">
        <v>214</v>
      </c>
      <c r="D214" s="76" t="s">
        <v>116</v>
      </c>
      <c r="E214" s="89">
        <f>38</f>
        <v>38</v>
      </c>
      <c r="F214" s="65"/>
      <c r="G214" s="64"/>
      <c r="H214" s="64"/>
      <c r="I214" s="64"/>
      <c r="J214" s="64"/>
      <c r="K214" s="64"/>
      <c r="L214" s="64"/>
      <c r="M214" s="64"/>
      <c r="N214" s="64"/>
      <c r="O214" s="64"/>
      <c r="P214" s="64"/>
    </row>
    <row r="215" spans="1:16" x14ac:dyDescent="0.2">
      <c r="A215" s="80">
        <f>IF(D215="","",COUNTIF(B$13:$B215,"l.c"))</f>
        <v>138</v>
      </c>
      <c r="B215" s="80" t="str">
        <f t="shared" ref="B215:B223" si="19">IF(D215="","","l.c")</f>
        <v>l.c</v>
      </c>
      <c r="C215" s="14" t="s">
        <v>130</v>
      </c>
      <c r="D215" s="13" t="s">
        <v>116</v>
      </c>
      <c r="E215" s="63">
        <f>E214</f>
        <v>38</v>
      </c>
      <c r="F215" s="65"/>
      <c r="G215" s="64"/>
      <c r="H215" s="64"/>
      <c r="I215" s="64"/>
      <c r="J215" s="64"/>
      <c r="K215" s="64"/>
      <c r="L215" s="64"/>
      <c r="M215" s="64"/>
      <c r="N215" s="64"/>
      <c r="O215" s="64"/>
      <c r="P215" s="64"/>
    </row>
    <row r="216" spans="1:16" x14ac:dyDescent="0.2">
      <c r="A216" s="80">
        <f>IF(D216="","",COUNTIF(B$13:$B216,"l.c"))</f>
        <v>139</v>
      </c>
      <c r="B216" s="80" t="str">
        <f t="shared" si="19"/>
        <v>l.c</v>
      </c>
      <c r="C216" s="14" t="s">
        <v>190</v>
      </c>
      <c r="D216" s="13" t="s">
        <v>93</v>
      </c>
      <c r="E216" s="63">
        <f>E214*0.3</f>
        <v>11.4</v>
      </c>
      <c r="F216" s="65"/>
      <c r="G216" s="64"/>
      <c r="H216" s="64"/>
      <c r="I216" s="64"/>
      <c r="J216" s="64"/>
      <c r="K216" s="64"/>
      <c r="L216" s="64"/>
      <c r="M216" s="64"/>
      <c r="N216" s="64"/>
      <c r="O216" s="64"/>
      <c r="P216" s="64"/>
    </row>
    <row r="217" spans="1:16" x14ac:dyDescent="0.2">
      <c r="A217" s="80">
        <f>IF(D217="","",COUNTIF(B$13:$B217,"l.c"))</f>
        <v>140</v>
      </c>
      <c r="B217" s="80" t="str">
        <f t="shared" si="19"/>
        <v>l.c</v>
      </c>
      <c r="C217" s="14" t="s">
        <v>191</v>
      </c>
      <c r="D217" s="13" t="s">
        <v>93</v>
      </c>
      <c r="E217" s="63">
        <f>E214*0.2</f>
        <v>7.6</v>
      </c>
      <c r="F217" s="65"/>
      <c r="G217" s="64"/>
      <c r="H217" s="64"/>
      <c r="I217" s="64"/>
      <c r="J217" s="64"/>
      <c r="K217" s="64"/>
      <c r="L217" s="64"/>
      <c r="M217" s="64"/>
      <c r="N217" s="64"/>
      <c r="O217" s="64"/>
      <c r="P217" s="64"/>
    </row>
    <row r="218" spans="1:16" x14ac:dyDescent="0.2">
      <c r="A218" s="80">
        <f>IF(D218="","",COUNTIF(B$13:$B218,"l.c"))</f>
        <v>141</v>
      </c>
      <c r="B218" s="80" t="str">
        <f t="shared" si="19"/>
        <v>l.c</v>
      </c>
      <c r="C218" s="14" t="s">
        <v>192</v>
      </c>
      <c r="D218" s="13" t="s">
        <v>116</v>
      </c>
      <c r="E218" s="63">
        <f>E214</f>
        <v>38</v>
      </c>
      <c r="F218" s="65"/>
      <c r="G218" s="64"/>
      <c r="H218" s="64"/>
      <c r="I218" s="64"/>
      <c r="J218" s="64"/>
      <c r="K218" s="64"/>
      <c r="L218" s="64"/>
      <c r="M218" s="64"/>
      <c r="N218" s="64"/>
      <c r="O218" s="64"/>
      <c r="P218" s="64"/>
    </row>
    <row r="219" spans="1:16" ht="24" x14ac:dyDescent="0.2">
      <c r="A219" s="80">
        <f>IF(D219="","",COUNTIF(B$13:$B219,"l.c"))</f>
        <v>142</v>
      </c>
      <c r="B219" s="80" t="str">
        <f t="shared" si="19"/>
        <v>l.c</v>
      </c>
      <c r="C219" s="14" t="s">
        <v>199</v>
      </c>
      <c r="D219" s="13" t="str">
        <f>D214</f>
        <v>m2</v>
      </c>
      <c r="E219" s="63">
        <v>77.8</v>
      </c>
      <c r="F219" s="65"/>
      <c r="G219" s="64"/>
      <c r="H219" s="64"/>
      <c r="I219" s="64"/>
      <c r="J219" s="64"/>
      <c r="K219" s="64"/>
      <c r="L219" s="64"/>
      <c r="M219" s="64"/>
      <c r="N219" s="64"/>
      <c r="O219" s="64"/>
      <c r="P219" s="64"/>
    </row>
    <row r="220" spans="1:16" ht="24" x14ac:dyDescent="0.2">
      <c r="A220" s="80">
        <f>IF(D220="","",COUNTIF(B$13:$B220,"l.c"))</f>
        <v>143</v>
      </c>
      <c r="B220" s="80" t="str">
        <f t="shared" si="19"/>
        <v>l.c</v>
      </c>
      <c r="C220" s="14" t="s">
        <v>204</v>
      </c>
      <c r="D220" s="13" t="s">
        <v>93</v>
      </c>
      <c r="E220" s="63">
        <f>E214*0.08</f>
        <v>3.04</v>
      </c>
      <c r="F220" s="65"/>
      <c r="G220" s="64"/>
      <c r="H220" s="64"/>
      <c r="I220" s="64"/>
      <c r="J220" s="64"/>
      <c r="K220" s="64"/>
      <c r="L220" s="64"/>
      <c r="M220" s="64"/>
      <c r="N220" s="64"/>
      <c r="O220" s="64"/>
      <c r="P220" s="64"/>
    </row>
    <row r="221" spans="1:16" x14ac:dyDescent="0.2">
      <c r="A221" s="80">
        <f>IF(D221="","",COUNTIF(B$13:$B221,"l.c"))</f>
        <v>144</v>
      </c>
      <c r="B221" s="80" t="str">
        <f t="shared" si="19"/>
        <v>l.c</v>
      </c>
      <c r="C221" s="14" t="s">
        <v>201</v>
      </c>
      <c r="D221" s="13" t="s">
        <v>93</v>
      </c>
      <c r="E221" s="63">
        <f>E220*1.05</f>
        <v>3.19</v>
      </c>
      <c r="F221" s="65"/>
      <c r="G221" s="64"/>
      <c r="H221" s="64"/>
      <c r="I221" s="64"/>
      <c r="J221" s="64"/>
      <c r="K221" s="64"/>
      <c r="L221" s="64"/>
      <c r="M221" s="64"/>
      <c r="N221" s="64"/>
      <c r="O221" s="64"/>
      <c r="P221" s="64"/>
    </row>
    <row r="222" spans="1:16" x14ac:dyDescent="0.2">
      <c r="A222" s="80">
        <f>IF(D222="","",COUNTIF(B$13:$B222,"l.c"))</f>
        <v>145</v>
      </c>
      <c r="B222" s="80" t="str">
        <f t="shared" si="19"/>
        <v>l.c</v>
      </c>
      <c r="C222" s="85" t="s">
        <v>215</v>
      </c>
      <c r="D222" s="13" t="s">
        <v>116</v>
      </c>
      <c r="E222" s="63">
        <f>E214</f>
        <v>38</v>
      </c>
      <c r="F222" s="65"/>
      <c r="G222" s="64"/>
      <c r="H222" s="64"/>
      <c r="I222" s="64"/>
      <c r="J222" s="64"/>
      <c r="K222" s="64"/>
      <c r="L222" s="64"/>
      <c r="M222" s="64"/>
      <c r="N222" s="64"/>
      <c r="O222" s="64"/>
      <c r="P222" s="64"/>
    </row>
    <row r="223" spans="1:16" x14ac:dyDescent="0.2">
      <c r="A223" s="80" t="str">
        <f>IF(D223="","",COUNTIF(B$13:$B223,"l.c"))</f>
        <v/>
      </c>
      <c r="B223" s="80" t="str">
        <f t="shared" si="19"/>
        <v/>
      </c>
      <c r="C223" s="14"/>
      <c r="D223" s="13"/>
      <c r="E223" s="63"/>
      <c r="F223" s="65"/>
      <c r="G223" s="64"/>
      <c r="H223" s="64"/>
      <c r="I223" s="64"/>
      <c r="J223" s="64"/>
      <c r="K223" s="64"/>
      <c r="L223" s="64"/>
      <c r="M223" s="64"/>
      <c r="N223" s="64"/>
      <c r="O223" s="64"/>
      <c r="P223" s="64"/>
    </row>
    <row r="224" spans="1:16" x14ac:dyDescent="0.2">
      <c r="A224" s="80"/>
      <c r="B224" s="80"/>
      <c r="C224" s="81" t="s">
        <v>216</v>
      </c>
      <c r="D224" s="76" t="s">
        <v>116</v>
      </c>
      <c r="E224" s="89">
        <f>6</f>
        <v>6</v>
      </c>
      <c r="F224" s="65"/>
      <c r="G224" s="64"/>
      <c r="H224" s="64"/>
      <c r="I224" s="64"/>
      <c r="J224" s="64"/>
      <c r="K224" s="64"/>
      <c r="L224" s="64"/>
      <c r="M224" s="64"/>
      <c r="N224" s="64"/>
      <c r="O224" s="64"/>
      <c r="P224" s="64"/>
    </row>
    <row r="225" spans="1:16" x14ac:dyDescent="0.2">
      <c r="A225" s="80">
        <f>IF(D225="","",COUNTIF(B$13:$B225,"l.c"))</f>
        <v>146</v>
      </c>
      <c r="B225" s="80" t="str">
        <f t="shared" ref="B225:B233" si="20">IF(D225="","","l.c")</f>
        <v>l.c</v>
      </c>
      <c r="C225" s="14" t="s">
        <v>130</v>
      </c>
      <c r="D225" s="13" t="s">
        <v>116</v>
      </c>
      <c r="E225" s="63">
        <f>E224</f>
        <v>6</v>
      </c>
      <c r="F225" s="65"/>
      <c r="G225" s="64"/>
      <c r="H225" s="64"/>
      <c r="I225" s="64"/>
      <c r="J225" s="64"/>
      <c r="K225" s="64"/>
      <c r="L225" s="64"/>
      <c r="M225" s="64"/>
      <c r="N225" s="64"/>
      <c r="O225" s="64"/>
      <c r="P225" s="64"/>
    </row>
    <row r="226" spans="1:16" x14ac:dyDescent="0.2">
      <c r="A226" s="80">
        <f>IF(D226="","",COUNTIF(B$13:$B226,"l.c"))</f>
        <v>147</v>
      </c>
      <c r="B226" s="80" t="str">
        <f t="shared" si="20"/>
        <v>l.c</v>
      </c>
      <c r="C226" s="14" t="s">
        <v>190</v>
      </c>
      <c r="D226" s="13" t="s">
        <v>93</v>
      </c>
      <c r="E226" s="63">
        <f>E224*0.3</f>
        <v>1.8</v>
      </c>
      <c r="F226" s="65"/>
      <c r="G226" s="64"/>
      <c r="H226" s="64"/>
      <c r="I226" s="64"/>
      <c r="J226" s="64"/>
      <c r="K226" s="64"/>
      <c r="L226" s="64"/>
      <c r="M226" s="64"/>
      <c r="N226" s="64"/>
      <c r="O226" s="64"/>
      <c r="P226" s="64"/>
    </row>
    <row r="227" spans="1:16" x14ac:dyDescent="0.2">
      <c r="A227" s="80">
        <f>IF(D227="","",COUNTIF(B$13:$B227,"l.c"))</f>
        <v>148</v>
      </c>
      <c r="B227" s="80" t="str">
        <f t="shared" si="20"/>
        <v>l.c</v>
      </c>
      <c r="C227" s="14" t="s">
        <v>191</v>
      </c>
      <c r="D227" s="13" t="s">
        <v>93</v>
      </c>
      <c r="E227" s="63">
        <f>E224*0.2</f>
        <v>1.2</v>
      </c>
      <c r="F227" s="65"/>
      <c r="G227" s="64"/>
      <c r="H227" s="64"/>
      <c r="I227" s="64"/>
      <c r="J227" s="64"/>
      <c r="K227" s="64"/>
      <c r="L227" s="64"/>
      <c r="M227" s="64"/>
      <c r="N227" s="64"/>
      <c r="O227" s="64"/>
      <c r="P227" s="64"/>
    </row>
    <row r="228" spans="1:16" x14ac:dyDescent="0.2">
      <c r="A228" s="80">
        <f>IF(D228="","",COUNTIF(B$13:$B228,"l.c"))</f>
        <v>149</v>
      </c>
      <c r="B228" s="80" t="str">
        <f t="shared" si="20"/>
        <v>l.c</v>
      </c>
      <c r="C228" s="14" t="s">
        <v>212</v>
      </c>
      <c r="D228" s="13" t="s">
        <v>116</v>
      </c>
      <c r="E228" s="63">
        <f>E224</f>
        <v>6</v>
      </c>
      <c r="F228" s="65"/>
      <c r="G228" s="64"/>
      <c r="H228" s="64"/>
      <c r="I228" s="64"/>
      <c r="J228" s="64"/>
      <c r="K228" s="64"/>
      <c r="L228" s="64"/>
      <c r="M228" s="64"/>
      <c r="N228" s="64"/>
      <c r="O228" s="64"/>
      <c r="P228" s="64"/>
    </row>
    <row r="229" spans="1:16" x14ac:dyDescent="0.2">
      <c r="A229" s="80">
        <f>IF(D229="","",COUNTIF(B$13:$B229,"l.c"))</f>
        <v>150</v>
      </c>
      <c r="B229" s="80" t="str">
        <f t="shared" si="20"/>
        <v>l.c</v>
      </c>
      <c r="C229" s="14" t="s">
        <v>192</v>
      </c>
      <c r="D229" s="13" t="s">
        <v>116</v>
      </c>
      <c r="E229" s="63">
        <f>E224</f>
        <v>6</v>
      </c>
      <c r="F229" s="65"/>
      <c r="G229" s="64"/>
      <c r="H229" s="64"/>
      <c r="I229" s="64"/>
      <c r="J229" s="64"/>
      <c r="K229" s="64"/>
      <c r="L229" s="64"/>
      <c r="M229" s="64"/>
      <c r="N229" s="64"/>
      <c r="O229" s="64"/>
      <c r="P229" s="64"/>
    </row>
    <row r="230" spans="1:16" ht="24" x14ac:dyDescent="0.2">
      <c r="A230" s="80">
        <f>IF(D230="","",COUNTIF(B$13:$B230,"l.c"))</f>
        <v>151</v>
      </c>
      <c r="B230" s="80" t="str">
        <f t="shared" si="20"/>
        <v>l.c</v>
      </c>
      <c r="C230" s="14" t="s">
        <v>199</v>
      </c>
      <c r="D230" s="13" t="str">
        <f>D224</f>
        <v>m2</v>
      </c>
      <c r="E230" s="63">
        <f>E224</f>
        <v>6</v>
      </c>
      <c r="F230" s="65"/>
      <c r="G230" s="64"/>
      <c r="H230" s="64"/>
      <c r="I230" s="64"/>
      <c r="J230" s="64"/>
      <c r="K230" s="64"/>
      <c r="L230" s="64"/>
      <c r="M230" s="64"/>
      <c r="N230" s="64"/>
      <c r="O230" s="64"/>
      <c r="P230" s="64"/>
    </row>
    <row r="231" spans="1:16" ht="24" x14ac:dyDescent="0.2">
      <c r="A231" s="80">
        <f>IF(D231="","",COUNTIF(B$13:$B231,"l.c"))</f>
        <v>152</v>
      </c>
      <c r="B231" s="80" t="str">
        <f t="shared" si="20"/>
        <v>l.c</v>
      </c>
      <c r="C231" s="14" t="s">
        <v>200</v>
      </c>
      <c r="D231" s="13" t="s">
        <v>93</v>
      </c>
      <c r="E231" s="63">
        <f>E224*0.1</f>
        <v>0.6</v>
      </c>
      <c r="F231" s="65"/>
      <c r="G231" s="64"/>
      <c r="H231" s="64"/>
      <c r="I231" s="64"/>
      <c r="J231" s="64"/>
      <c r="K231" s="64"/>
      <c r="L231" s="64"/>
      <c r="M231" s="64"/>
      <c r="N231" s="64"/>
      <c r="O231" s="64"/>
      <c r="P231" s="64"/>
    </row>
    <row r="232" spans="1:16" x14ac:dyDescent="0.2">
      <c r="A232" s="80">
        <f>IF(D232="","",COUNTIF(B$13:$B232,"l.c"))</f>
        <v>153</v>
      </c>
      <c r="B232" s="80" t="str">
        <f t="shared" si="20"/>
        <v>l.c</v>
      </c>
      <c r="C232" s="14" t="s">
        <v>201</v>
      </c>
      <c r="D232" s="13" t="s">
        <v>93</v>
      </c>
      <c r="E232" s="63">
        <f>E231*1.05</f>
        <v>0.63</v>
      </c>
      <c r="F232" s="65"/>
      <c r="G232" s="64"/>
      <c r="H232" s="64"/>
      <c r="I232" s="64"/>
      <c r="J232" s="64"/>
      <c r="K232" s="64"/>
      <c r="L232" s="64"/>
      <c r="M232" s="64"/>
      <c r="N232" s="64"/>
      <c r="O232" s="64"/>
      <c r="P232" s="64"/>
    </row>
    <row r="233" spans="1:16" x14ac:dyDescent="0.2">
      <c r="A233" s="80">
        <f>IF(D233="","",COUNTIF(B$13:$B233,"l.c"))</f>
        <v>154</v>
      </c>
      <c r="B233" s="80" t="str">
        <f t="shared" si="20"/>
        <v>l.c</v>
      </c>
      <c r="C233" s="85" t="s">
        <v>217</v>
      </c>
      <c r="D233" s="13" t="s">
        <v>116</v>
      </c>
      <c r="E233" s="63">
        <f>E224</f>
        <v>6</v>
      </c>
      <c r="F233" s="65"/>
      <c r="G233" s="64"/>
      <c r="H233" s="64"/>
      <c r="I233" s="64"/>
      <c r="J233" s="64"/>
      <c r="K233" s="64"/>
      <c r="L233" s="64"/>
      <c r="M233" s="64"/>
      <c r="N233" s="64"/>
      <c r="O233" s="64"/>
      <c r="P233" s="64"/>
    </row>
    <row r="234" spans="1:16" x14ac:dyDescent="0.2">
      <c r="A234" s="80" t="str">
        <f>IF(D234="","",COUNTIF(B$13:$B234,"l.c"))</f>
        <v/>
      </c>
      <c r="B234" s="80" t="str">
        <f t="shared" si="18"/>
        <v/>
      </c>
      <c r="C234" s="85"/>
      <c r="D234" s="13"/>
      <c r="E234" s="63"/>
      <c r="F234" s="65"/>
      <c r="G234" s="64"/>
      <c r="H234" s="64"/>
      <c r="I234" s="64"/>
      <c r="J234" s="64"/>
      <c r="K234" s="64"/>
      <c r="L234" s="64"/>
      <c r="M234" s="64"/>
      <c r="N234" s="64"/>
      <c r="O234" s="64"/>
      <c r="P234" s="64"/>
    </row>
    <row r="235" spans="1:16" x14ac:dyDescent="0.2">
      <c r="A235" s="80" t="str">
        <f>IF(D235="","",COUNTIF(B$13:$B235,"l.c"))</f>
        <v/>
      </c>
      <c r="B235" s="80" t="str">
        <f t="shared" si="18"/>
        <v/>
      </c>
      <c r="C235" s="75" t="s">
        <v>218</v>
      </c>
      <c r="D235" s="13"/>
      <c r="E235" s="63"/>
      <c r="F235" s="65"/>
      <c r="G235" s="64"/>
      <c r="H235" s="64"/>
      <c r="I235" s="64"/>
      <c r="J235" s="64"/>
      <c r="K235" s="64"/>
      <c r="L235" s="64"/>
      <c r="M235" s="64"/>
      <c r="N235" s="64"/>
      <c r="O235" s="64"/>
      <c r="P235" s="64"/>
    </row>
    <row r="236" spans="1:16" x14ac:dyDescent="0.2">
      <c r="A236" s="80" t="str">
        <f>IF(D236="","",COUNTIF(B$13:$B236,"l.c"))</f>
        <v/>
      </c>
      <c r="B236" s="80" t="str">
        <f t="shared" si="18"/>
        <v/>
      </c>
      <c r="C236" s="81" t="s">
        <v>219</v>
      </c>
      <c r="D236" s="13"/>
      <c r="E236" s="63"/>
      <c r="F236" s="65"/>
      <c r="G236" s="64"/>
      <c r="H236" s="64"/>
      <c r="I236" s="64"/>
      <c r="J236" s="64"/>
      <c r="K236" s="64"/>
      <c r="L236" s="64"/>
      <c r="M236" s="64"/>
      <c r="N236" s="64"/>
      <c r="O236" s="64"/>
      <c r="P236" s="64"/>
    </row>
    <row r="237" spans="1:16" ht="144" x14ac:dyDescent="0.2">
      <c r="A237" s="80">
        <f>IF(D237="","",COUNTIF(B$13:$B237,"l.c"))</f>
        <v>155</v>
      </c>
      <c r="B237" s="80" t="str">
        <f t="shared" si="18"/>
        <v>l.c</v>
      </c>
      <c r="C237" s="14" t="s">
        <v>220</v>
      </c>
      <c r="D237" s="13" t="s">
        <v>109</v>
      </c>
      <c r="E237" s="91">
        <v>4</v>
      </c>
      <c r="F237" s="65"/>
      <c r="G237" s="64"/>
      <c r="H237" s="64"/>
      <c r="I237" s="64"/>
      <c r="J237" s="64"/>
      <c r="K237" s="64"/>
      <c r="L237" s="64"/>
      <c r="M237" s="64"/>
      <c r="N237" s="64"/>
      <c r="O237" s="64"/>
      <c r="P237" s="64"/>
    </row>
    <row r="238" spans="1:16" x14ac:dyDescent="0.2">
      <c r="A238" s="80" t="str">
        <f>IF(D238="","",COUNTIF(B$13:$B238,"l.c"))</f>
        <v/>
      </c>
      <c r="B238" s="80" t="str">
        <f t="shared" ref="B238:B239" si="21">IF(D238="","","l.c")</f>
        <v/>
      </c>
      <c r="C238" s="81" t="s">
        <v>221</v>
      </c>
      <c r="D238" s="13"/>
      <c r="E238" s="63"/>
      <c r="F238" s="65"/>
      <c r="G238" s="64"/>
      <c r="H238" s="64">
        <f t="shared" ref="H238:H248" si="22">ROUND(F238*G238,2)</f>
        <v>0</v>
      </c>
      <c r="I238" s="64">
        <v>0</v>
      </c>
      <c r="J238" s="64"/>
      <c r="K238" s="64">
        <f t="shared" ref="K238:K248" si="23">SUM(H238:J238)</f>
        <v>0</v>
      </c>
      <c r="L238" s="64">
        <f t="shared" ref="L238:L248" si="24">ROUND(E238*F238,2)</f>
        <v>0</v>
      </c>
      <c r="M238" s="64">
        <f t="shared" ref="M238:M248" si="25">ROUND(E238*H238,2)</f>
        <v>0</v>
      </c>
      <c r="N238" s="64">
        <f t="shared" ref="N238:N248" si="26">ROUND(E238*I238,2)</f>
        <v>0</v>
      </c>
      <c r="O238" s="64">
        <f t="shared" ref="O238:O248" si="27">ROUND(E238*J238,2)</f>
        <v>0</v>
      </c>
      <c r="P238" s="64">
        <f t="shared" ref="P238:P248" si="28">SUM(M238:O238)</f>
        <v>0</v>
      </c>
    </row>
    <row r="239" spans="1:16" ht="24" x14ac:dyDescent="0.2">
      <c r="A239" s="80">
        <f>IF(D239="","",COUNTIF(B$13:$B239,"l.c"))</f>
        <v>156</v>
      </c>
      <c r="B239" s="80" t="str">
        <f t="shared" si="21"/>
        <v>l.c</v>
      </c>
      <c r="C239" s="14" t="s">
        <v>222</v>
      </c>
      <c r="D239" s="13" t="s">
        <v>109</v>
      </c>
      <c r="E239" s="91">
        <v>1</v>
      </c>
      <c r="F239" s="65"/>
      <c r="G239" s="64"/>
      <c r="H239" s="64">
        <f t="shared" si="22"/>
        <v>0</v>
      </c>
      <c r="I239" s="64"/>
      <c r="J239" s="64"/>
      <c r="K239" s="64">
        <f t="shared" si="23"/>
        <v>0</v>
      </c>
      <c r="L239" s="64">
        <f t="shared" si="24"/>
        <v>0</v>
      </c>
      <c r="M239" s="64">
        <f t="shared" si="25"/>
        <v>0</v>
      </c>
      <c r="N239" s="64">
        <f t="shared" si="26"/>
        <v>0</v>
      </c>
      <c r="O239" s="64">
        <f t="shared" si="27"/>
        <v>0</v>
      </c>
      <c r="P239" s="64">
        <f t="shared" si="28"/>
        <v>0</v>
      </c>
    </row>
    <row r="240" spans="1:16" ht="24" x14ac:dyDescent="0.2">
      <c r="A240" s="80">
        <f>IF(D240="","",COUNTIF(B$13:$B240,"l.c"))</f>
        <v>157</v>
      </c>
      <c r="B240" s="80" t="str">
        <f>IF(D240="","","l.c")</f>
        <v>l.c</v>
      </c>
      <c r="C240" s="14" t="s">
        <v>223</v>
      </c>
      <c r="D240" s="13" t="s">
        <v>109</v>
      </c>
      <c r="E240" s="91">
        <v>1</v>
      </c>
      <c r="F240" s="65"/>
      <c r="G240" s="64"/>
      <c r="H240" s="64">
        <f t="shared" si="22"/>
        <v>0</v>
      </c>
      <c r="I240" s="64"/>
      <c r="J240" s="64"/>
      <c r="K240" s="64">
        <f t="shared" si="23"/>
        <v>0</v>
      </c>
      <c r="L240" s="64">
        <f t="shared" si="24"/>
        <v>0</v>
      </c>
      <c r="M240" s="64">
        <f t="shared" si="25"/>
        <v>0</v>
      </c>
      <c r="N240" s="64">
        <f t="shared" si="26"/>
        <v>0</v>
      </c>
      <c r="O240" s="64">
        <f t="shared" si="27"/>
        <v>0</v>
      </c>
      <c r="P240" s="64">
        <f t="shared" si="28"/>
        <v>0</v>
      </c>
    </row>
    <row r="241" spans="1:16" x14ac:dyDescent="0.2">
      <c r="A241" s="80"/>
      <c r="B241" s="80"/>
      <c r="C241" s="14"/>
      <c r="D241" s="13"/>
      <c r="E241" s="91"/>
      <c r="F241" s="65"/>
      <c r="G241" s="64"/>
      <c r="H241" s="64">
        <f t="shared" si="22"/>
        <v>0</v>
      </c>
      <c r="I241" s="64">
        <v>0</v>
      </c>
      <c r="J241" s="64"/>
      <c r="K241" s="64">
        <f t="shared" si="23"/>
        <v>0</v>
      </c>
      <c r="L241" s="64">
        <f t="shared" si="24"/>
        <v>0</v>
      </c>
      <c r="M241" s="64">
        <f t="shared" si="25"/>
        <v>0</v>
      </c>
      <c r="N241" s="64">
        <f t="shared" si="26"/>
        <v>0</v>
      </c>
      <c r="O241" s="64">
        <f t="shared" si="27"/>
        <v>0</v>
      </c>
      <c r="P241" s="64">
        <f t="shared" si="28"/>
        <v>0</v>
      </c>
    </row>
    <row r="242" spans="1:16" x14ac:dyDescent="0.2">
      <c r="A242" s="80" t="str">
        <f>IF(D242="","",COUNTIF(B$13:$B242,"l.c"))</f>
        <v/>
      </c>
      <c r="B242" s="80" t="str">
        <f t="shared" si="18"/>
        <v/>
      </c>
      <c r="C242" s="81" t="s">
        <v>224</v>
      </c>
      <c r="D242" s="13"/>
      <c r="E242" s="63"/>
      <c r="F242" s="65"/>
      <c r="G242" s="64"/>
      <c r="H242" s="64">
        <f t="shared" si="22"/>
        <v>0</v>
      </c>
      <c r="I242" s="64">
        <v>0</v>
      </c>
      <c r="J242" s="64"/>
      <c r="K242" s="64">
        <f t="shared" si="23"/>
        <v>0</v>
      </c>
      <c r="L242" s="64">
        <f t="shared" si="24"/>
        <v>0</v>
      </c>
      <c r="M242" s="64">
        <f t="shared" si="25"/>
        <v>0</v>
      </c>
      <c r="N242" s="64">
        <f t="shared" si="26"/>
        <v>0</v>
      </c>
      <c r="O242" s="64">
        <f t="shared" si="27"/>
        <v>0</v>
      </c>
      <c r="P242" s="64">
        <f t="shared" si="28"/>
        <v>0</v>
      </c>
    </row>
    <row r="243" spans="1:16" ht="24" x14ac:dyDescent="0.2">
      <c r="A243" s="80">
        <f>IF(D243="","",COUNTIF(B$13:$B243,"l.c"))</f>
        <v>158</v>
      </c>
      <c r="B243" s="80" t="str">
        <f>IF(D243="","","l.c")</f>
        <v>l.c</v>
      </c>
      <c r="C243" s="14" t="s">
        <v>225</v>
      </c>
      <c r="D243" s="13" t="s">
        <v>109</v>
      </c>
      <c r="E243" s="91">
        <v>2</v>
      </c>
      <c r="F243" s="65"/>
      <c r="G243" s="64"/>
      <c r="H243" s="64"/>
      <c r="I243" s="64"/>
      <c r="J243" s="64"/>
      <c r="K243" s="64"/>
      <c r="L243" s="64"/>
      <c r="M243" s="64"/>
      <c r="N243" s="64"/>
      <c r="O243" s="64"/>
      <c r="P243" s="64"/>
    </row>
    <row r="244" spans="1:16" ht="24" x14ac:dyDescent="0.2">
      <c r="A244" s="80">
        <f>A243+1</f>
        <v>159</v>
      </c>
      <c r="B244" s="80" t="str">
        <f t="shared" si="18"/>
        <v>l.c</v>
      </c>
      <c r="C244" s="14" t="s">
        <v>226</v>
      </c>
      <c r="D244" s="13" t="s">
        <v>109</v>
      </c>
      <c r="E244" s="91">
        <v>2</v>
      </c>
      <c r="F244" s="65"/>
      <c r="G244" s="64"/>
      <c r="H244" s="64"/>
      <c r="I244" s="64"/>
      <c r="J244" s="64"/>
      <c r="K244" s="64"/>
      <c r="L244" s="64"/>
      <c r="M244" s="64"/>
      <c r="N244" s="64"/>
      <c r="O244" s="64"/>
      <c r="P244" s="64"/>
    </row>
    <row r="245" spans="1:16" ht="24" x14ac:dyDescent="0.2">
      <c r="A245" s="80">
        <f>IF(D245="","",COUNTIF(B$13:$B245,"l.c"))</f>
        <v>160</v>
      </c>
      <c r="B245" s="80" t="str">
        <f t="shared" si="18"/>
        <v>l.c</v>
      </c>
      <c r="C245" s="14" t="s">
        <v>227</v>
      </c>
      <c r="D245" s="13" t="s">
        <v>109</v>
      </c>
      <c r="E245" s="91">
        <v>1</v>
      </c>
      <c r="F245" s="65"/>
      <c r="G245" s="64"/>
      <c r="H245" s="64"/>
      <c r="I245" s="64"/>
      <c r="J245" s="64"/>
      <c r="K245" s="64"/>
      <c r="L245" s="64"/>
      <c r="M245" s="64"/>
      <c r="N245" s="64"/>
      <c r="O245" s="64"/>
      <c r="P245" s="64"/>
    </row>
    <row r="246" spans="1:16" ht="36" x14ac:dyDescent="0.2">
      <c r="A246" s="80">
        <f>IF(D246="","",COUNTIF(B$13:$B246,"l.c"))</f>
        <v>161</v>
      </c>
      <c r="B246" s="80" t="str">
        <f>IF(D246="","","l.c")</f>
        <v>l.c</v>
      </c>
      <c r="C246" s="14" t="s">
        <v>228</v>
      </c>
      <c r="D246" s="13" t="s">
        <v>109</v>
      </c>
      <c r="E246" s="91">
        <v>1</v>
      </c>
      <c r="F246" s="65"/>
      <c r="G246" s="64"/>
      <c r="H246" s="64"/>
      <c r="I246" s="64"/>
      <c r="J246" s="64"/>
      <c r="K246" s="64"/>
      <c r="L246" s="64"/>
      <c r="M246" s="64"/>
      <c r="N246" s="64"/>
      <c r="O246" s="64"/>
      <c r="P246" s="64"/>
    </row>
    <row r="247" spans="1:16" x14ac:dyDescent="0.2">
      <c r="A247" s="80" t="str">
        <f>IF(D247="","",COUNTIF(B$13:$B247,"l.c"))</f>
        <v/>
      </c>
      <c r="B247" s="80" t="str">
        <f t="shared" si="18"/>
        <v/>
      </c>
      <c r="C247" s="14"/>
      <c r="D247" s="13"/>
      <c r="E247" s="63"/>
      <c r="F247" s="65"/>
      <c r="G247" s="64"/>
      <c r="H247" s="64"/>
      <c r="I247" s="64"/>
      <c r="J247" s="64"/>
      <c r="K247" s="64"/>
      <c r="L247" s="64"/>
      <c r="M247" s="64"/>
      <c r="N247" s="64"/>
      <c r="O247" s="64"/>
      <c r="P247" s="64"/>
    </row>
    <row r="248" spans="1:16" x14ac:dyDescent="0.2">
      <c r="A248" s="80" t="str">
        <f>IF(D248="","",COUNTIF(B$13:$B248,"l.c"))</f>
        <v/>
      </c>
      <c r="B248" s="80" t="str">
        <f t="shared" si="18"/>
        <v/>
      </c>
      <c r="C248" s="81" t="s">
        <v>229</v>
      </c>
      <c r="D248" s="13"/>
      <c r="E248" s="63"/>
      <c r="F248" s="65"/>
      <c r="G248" s="64"/>
      <c r="H248" s="64">
        <f t="shared" si="22"/>
        <v>0</v>
      </c>
      <c r="I248" s="64">
        <v>0</v>
      </c>
      <c r="J248" s="64"/>
      <c r="K248" s="64">
        <f t="shared" si="23"/>
        <v>0</v>
      </c>
      <c r="L248" s="64">
        <f t="shared" si="24"/>
        <v>0</v>
      </c>
      <c r="M248" s="64">
        <f t="shared" si="25"/>
        <v>0</v>
      </c>
      <c r="N248" s="64">
        <f t="shared" si="26"/>
        <v>0</v>
      </c>
      <c r="O248" s="64">
        <f t="shared" si="27"/>
        <v>0</v>
      </c>
      <c r="P248" s="64">
        <f t="shared" si="28"/>
        <v>0</v>
      </c>
    </row>
    <row r="249" spans="1:16" ht="48" x14ac:dyDescent="0.2">
      <c r="A249" s="80">
        <f>IF(D249="","",COUNTIF(B$13:$B249,"l.c"))</f>
        <v>162</v>
      </c>
      <c r="B249" s="80" t="str">
        <f t="shared" si="18"/>
        <v>l.c</v>
      </c>
      <c r="C249" s="85" t="s">
        <v>230</v>
      </c>
      <c r="D249" s="13" t="s">
        <v>109</v>
      </c>
      <c r="E249" s="13">
        <v>2</v>
      </c>
      <c r="F249" s="65"/>
      <c r="G249" s="64"/>
      <c r="H249" s="64"/>
      <c r="I249" s="64"/>
      <c r="J249" s="64"/>
      <c r="K249" s="64"/>
      <c r="L249" s="64"/>
      <c r="M249" s="64"/>
      <c r="N249" s="64"/>
      <c r="O249" s="64"/>
      <c r="P249" s="64"/>
    </row>
    <row r="250" spans="1:16" ht="48" x14ac:dyDescent="0.2">
      <c r="A250" s="80">
        <f>IF(D250="","",COUNTIF(B$13:$B250,"l.c"))</f>
        <v>163</v>
      </c>
      <c r="B250" s="80" t="str">
        <f t="shared" si="18"/>
        <v>l.c</v>
      </c>
      <c r="C250" s="85" t="s">
        <v>231</v>
      </c>
      <c r="D250" s="13" t="s">
        <v>109</v>
      </c>
      <c r="E250" s="13">
        <v>2</v>
      </c>
      <c r="F250" s="65"/>
      <c r="G250" s="64"/>
      <c r="H250" s="64"/>
      <c r="I250" s="64"/>
      <c r="J250" s="64"/>
      <c r="K250" s="64"/>
      <c r="L250" s="64"/>
      <c r="M250" s="64"/>
      <c r="N250" s="64"/>
      <c r="O250" s="64"/>
      <c r="P250" s="64"/>
    </row>
    <row r="251" spans="1:16" ht="48" x14ac:dyDescent="0.2">
      <c r="A251" s="80">
        <f>IF(D251="","",COUNTIF(B$13:$B251,"l.c"))</f>
        <v>164</v>
      </c>
      <c r="B251" s="80" t="str">
        <f>IF(D251="","","l.c")</f>
        <v>l.c</v>
      </c>
      <c r="C251" s="85" t="s">
        <v>232</v>
      </c>
      <c r="D251" s="13" t="s">
        <v>109</v>
      </c>
      <c r="E251" s="13">
        <v>2</v>
      </c>
      <c r="F251" s="65"/>
      <c r="G251" s="64"/>
      <c r="H251" s="64"/>
      <c r="I251" s="64"/>
      <c r="J251" s="64"/>
      <c r="K251" s="64"/>
      <c r="L251" s="64"/>
      <c r="M251" s="64"/>
      <c r="N251" s="64"/>
      <c r="O251" s="64"/>
      <c r="P251" s="64"/>
    </row>
    <row r="252" spans="1:16" ht="36" x14ac:dyDescent="0.2">
      <c r="A252" s="80">
        <f>IF(D252="","",COUNTIF(B$13:$B252,"l.c"))</f>
        <v>165</v>
      </c>
      <c r="B252" s="80" t="str">
        <f>IF(D252="","","l.c")</f>
        <v>l.c</v>
      </c>
      <c r="C252" s="85" t="s">
        <v>233</v>
      </c>
      <c r="D252" s="13" t="s">
        <v>109</v>
      </c>
      <c r="E252" s="13">
        <v>1</v>
      </c>
      <c r="F252" s="65"/>
      <c r="G252" s="64"/>
      <c r="H252" s="64"/>
      <c r="I252" s="64"/>
      <c r="J252" s="64"/>
      <c r="K252" s="64"/>
      <c r="L252" s="64"/>
      <c r="M252" s="64"/>
      <c r="N252" s="64"/>
      <c r="O252" s="64"/>
      <c r="P252" s="64"/>
    </row>
    <row r="253" spans="1:16" x14ac:dyDescent="0.2">
      <c r="A253" s="80">
        <f>IF(D253="","",COUNTIF(B$13:$B253,"l.c"))</f>
        <v>166</v>
      </c>
      <c r="B253" s="80" t="str">
        <f t="shared" si="18"/>
        <v>l.c</v>
      </c>
      <c r="C253" s="85" t="s">
        <v>234</v>
      </c>
      <c r="D253" s="13" t="s">
        <v>65</v>
      </c>
      <c r="E253" s="13">
        <f>66.92</f>
        <v>66.92</v>
      </c>
      <c r="F253" s="65"/>
      <c r="G253" s="64"/>
      <c r="H253" s="64"/>
      <c r="I253" s="64"/>
      <c r="J253" s="64"/>
      <c r="K253" s="64"/>
      <c r="L253" s="64"/>
      <c r="M253" s="64"/>
      <c r="N253" s="64"/>
      <c r="O253" s="64"/>
      <c r="P253" s="64"/>
    </row>
    <row r="254" spans="1:16" ht="24" x14ac:dyDescent="0.2">
      <c r="A254" s="80">
        <f>IF(D254="","",COUNTIF(B$13:$B254,"l.c"))</f>
        <v>167</v>
      </c>
      <c r="B254" s="80" t="str">
        <f t="shared" si="18"/>
        <v>l.c</v>
      </c>
      <c r="C254" s="85" t="s">
        <v>235</v>
      </c>
      <c r="D254" s="13" t="s">
        <v>107</v>
      </c>
      <c r="E254" s="13">
        <v>1</v>
      </c>
      <c r="F254" s="65"/>
      <c r="G254" s="64"/>
      <c r="H254" s="64"/>
      <c r="I254" s="64"/>
      <c r="J254" s="64"/>
      <c r="K254" s="64"/>
      <c r="L254" s="64"/>
      <c r="M254" s="64"/>
      <c r="N254" s="64"/>
      <c r="O254" s="64"/>
      <c r="P254" s="64"/>
    </row>
    <row r="255" spans="1:16" x14ac:dyDescent="0.2">
      <c r="A255" s="80"/>
      <c r="B255" s="80" t="str">
        <f t="shared" si="18"/>
        <v/>
      </c>
      <c r="C255" s="27"/>
      <c r="D255" s="13"/>
      <c r="E255" s="13"/>
      <c r="F255" s="65"/>
      <c r="G255" s="65"/>
      <c r="H255" s="65"/>
      <c r="I255" s="65"/>
      <c r="J255" s="65"/>
      <c r="K255" s="65"/>
      <c r="L255" s="65"/>
      <c r="M255" s="65"/>
      <c r="N255" s="65"/>
      <c r="O255" s="65"/>
      <c r="P255" s="65"/>
    </row>
    <row r="256" spans="1:16" x14ac:dyDescent="0.2">
      <c r="A256" s="71"/>
      <c r="B256" s="212" t="s">
        <v>86</v>
      </c>
      <c r="C256" s="212"/>
      <c r="D256" s="212"/>
      <c r="E256" s="212"/>
      <c r="F256" s="212"/>
      <c r="G256" s="212"/>
      <c r="H256" s="212"/>
      <c r="I256" s="212"/>
      <c r="J256" s="212"/>
      <c r="K256" s="212"/>
      <c r="L256" s="66">
        <f>SUM(L15:L255)</f>
        <v>0</v>
      </c>
      <c r="M256" s="66">
        <f>SUM(M15:M255)</f>
        <v>0</v>
      </c>
      <c r="N256" s="66">
        <f>SUM(N15:N255)</f>
        <v>0</v>
      </c>
      <c r="O256" s="66">
        <f>SUM(O15:O255)</f>
        <v>0</v>
      </c>
      <c r="P256" s="66">
        <f>SUM(P15:P255)</f>
        <v>0</v>
      </c>
    </row>
    <row r="257" spans="1:16" x14ac:dyDescent="0.2">
      <c r="A257" s="5"/>
      <c r="B257" s="5"/>
      <c r="C257" s="9"/>
      <c r="D257" s="5"/>
      <c r="E257" s="5"/>
      <c r="F257" s="5"/>
      <c r="G257" s="5"/>
      <c r="H257" s="5"/>
      <c r="I257" s="5"/>
      <c r="J257" s="5"/>
      <c r="K257" s="5"/>
      <c r="L257" s="5"/>
      <c r="M257" s="5"/>
      <c r="N257" s="5"/>
      <c r="O257" s="5"/>
      <c r="P257" s="5"/>
    </row>
    <row r="258" spans="1:16" x14ac:dyDescent="0.2">
      <c r="A258" s="5"/>
      <c r="B258" s="5"/>
      <c r="C258" s="9"/>
      <c r="D258" s="5"/>
      <c r="E258" s="5"/>
      <c r="F258" s="5"/>
      <c r="G258" s="5"/>
      <c r="H258" s="5"/>
      <c r="I258" s="5"/>
      <c r="J258" s="5"/>
      <c r="K258" s="5"/>
      <c r="L258" s="5"/>
      <c r="M258" s="5"/>
      <c r="N258" s="5"/>
      <c r="O258" s="5"/>
      <c r="P258" s="5"/>
    </row>
    <row r="259" spans="1:16" x14ac:dyDescent="0.2">
      <c r="A259" s="19" t="s">
        <v>9</v>
      </c>
      <c r="B259" s="19"/>
      <c r="C259" s="19"/>
      <c r="D259" s="19"/>
      <c r="E259" s="92"/>
      <c r="F259" s="19"/>
      <c r="G259" s="19"/>
      <c r="H259" s="20"/>
      <c r="I259" s="20"/>
      <c r="J259" s="20"/>
      <c r="K259" s="20"/>
      <c r="L259" s="20"/>
      <c r="M259" s="20"/>
      <c r="N259" s="68"/>
      <c r="O259" s="68"/>
      <c r="P259" s="68"/>
    </row>
    <row r="260" spans="1:16" ht="11.65" customHeight="1" x14ac:dyDescent="0.2">
      <c r="A260" s="217" t="s">
        <v>10</v>
      </c>
      <c r="B260" s="217"/>
      <c r="C260" s="217"/>
      <c r="D260" s="217"/>
      <c r="E260" s="217"/>
      <c r="F260" s="217"/>
      <c r="G260" s="217"/>
      <c r="H260" s="20"/>
      <c r="I260" s="217"/>
      <c r="J260" s="217"/>
      <c r="K260" s="217"/>
      <c r="L260" s="217"/>
      <c r="M260" s="217"/>
      <c r="N260" s="5"/>
      <c r="O260" s="5"/>
      <c r="P260" s="5"/>
    </row>
    <row r="261" spans="1:16" x14ac:dyDescent="0.2">
      <c r="A261" s="20"/>
      <c r="B261" s="69"/>
      <c r="C261" s="69"/>
      <c r="D261" s="69"/>
      <c r="E261" s="5"/>
      <c r="F261" s="69"/>
      <c r="G261" s="69"/>
      <c r="H261" s="20"/>
      <c r="I261" s="69"/>
      <c r="J261" s="69"/>
      <c r="K261" s="69"/>
      <c r="L261" s="69"/>
      <c r="M261" s="69"/>
      <c r="N261" s="5"/>
      <c r="O261" s="5"/>
      <c r="P261" s="5"/>
    </row>
    <row r="262" spans="1:16" x14ac:dyDescent="0.2">
      <c r="A262" s="4" t="str">
        <f>Koptāme!$A$28</f>
        <v xml:space="preserve">Tāme sastādīta: </v>
      </c>
      <c r="B262" s="4"/>
      <c r="C262" s="5"/>
      <c r="D262" s="5"/>
      <c r="E262" s="5"/>
      <c r="F262" s="5"/>
      <c r="G262" s="5"/>
      <c r="H262" s="5"/>
      <c r="I262" s="5"/>
      <c r="J262" s="5"/>
      <c r="K262" s="5"/>
      <c r="L262" s="5"/>
      <c r="M262" s="5"/>
      <c r="N262" s="5"/>
      <c r="O262" s="5"/>
      <c r="P262" s="5"/>
    </row>
    <row r="263" spans="1:16" x14ac:dyDescent="0.2">
      <c r="A263" s="4"/>
      <c r="B263" s="4"/>
      <c r="C263" s="5"/>
      <c r="D263" s="5"/>
      <c r="E263" s="5"/>
      <c r="F263" s="5"/>
      <c r="G263" s="5"/>
      <c r="H263" s="5"/>
      <c r="I263" s="5"/>
      <c r="J263" s="5"/>
      <c r="K263" s="5"/>
      <c r="L263" s="5"/>
      <c r="M263" s="5"/>
      <c r="N263" s="5"/>
      <c r="O263" s="5"/>
      <c r="P263" s="5"/>
    </row>
    <row r="264" spans="1:16" x14ac:dyDescent="0.2">
      <c r="A264" s="19" t="s">
        <v>87</v>
      </c>
      <c r="B264" s="19"/>
      <c r="C264" s="19"/>
      <c r="D264" s="19"/>
      <c r="E264" s="92"/>
      <c r="F264" s="19"/>
      <c r="G264" s="19"/>
      <c r="H264" s="68"/>
      <c r="I264" s="68"/>
      <c r="J264" s="68"/>
      <c r="K264" s="26"/>
      <c r="L264" s="5"/>
      <c r="M264" s="5"/>
      <c r="N264" s="5"/>
      <c r="O264" s="5"/>
      <c r="P264" s="5"/>
    </row>
    <row r="265" spans="1:16" ht="11.65" customHeight="1" x14ac:dyDescent="0.2">
      <c r="A265" s="217" t="s">
        <v>10</v>
      </c>
      <c r="B265" s="217"/>
      <c r="C265" s="217"/>
      <c r="D265" s="217"/>
      <c r="E265" s="217"/>
      <c r="F265" s="217"/>
      <c r="G265" s="217"/>
      <c r="H265" s="5"/>
      <c r="I265" s="5"/>
      <c r="J265" s="5"/>
      <c r="K265" s="5"/>
      <c r="L265" s="5"/>
      <c r="M265" s="5"/>
      <c r="N265" s="5"/>
      <c r="O265" s="5"/>
      <c r="P265" s="5"/>
    </row>
    <row r="266" spans="1:16" x14ac:dyDescent="0.2">
      <c r="A266" s="4"/>
      <c r="B266" s="4"/>
      <c r="C266" s="5"/>
      <c r="D266" s="5"/>
      <c r="E266" s="5"/>
      <c r="F266" s="5"/>
      <c r="G266" s="5"/>
      <c r="H266" s="5"/>
      <c r="I266" s="5"/>
      <c r="J266" s="5"/>
      <c r="K266" s="5"/>
      <c r="L266" s="5"/>
      <c r="M266" s="5"/>
      <c r="N266" s="5"/>
      <c r="O266" s="5"/>
      <c r="P266" s="5"/>
    </row>
    <row r="267" spans="1:16" x14ac:dyDescent="0.2">
      <c r="A267" s="20" t="s">
        <v>11</v>
      </c>
      <c r="B267" s="20"/>
      <c r="C267" s="4"/>
      <c r="D267" s="5"/>
      <c r="E267" s="5"/>
      <c r="F267" s="5"/>
      <c r="G267" s="5"/>
      <c r="H267" s="5"/>
      <c r="I267" s="5"/>
      <c r="J267" s="5"/>
      <c r="K267" s="5"/>
      <c r="L267" s="5"/>
      <c r="M267" s="5"/>
      <c r="N267" s="5"/>
      <c r="O267" s="5"/>
      <c r="P267" s="5"/>
    </row>
    <row r="268" spans="1:16" x14ac:dyDescent="0.2">
      <c r="A268" s="5"/>
      <c r="B268" s="5"/>
      <c r="C268" s="5"/>
      <c r="D268" s="5"/>
      <c r="E268" s="5"/>
      <c r="F268" s="5"/>
      <c r="G268" s="5"/>
      <c r="H268" s="5"/>
      <c r="I268" s="5"/>
      <c r="J268" s="5"/>
      <c r="K268" s="5"/>
      <c r="L268" s="5"/>
      <c r="M268" s="5"/>
      <c r="N268" s="5"/>
      <c r="O268" s="5"/>
      <c r="P268" s="5"/>
    </row>
    <row r="269" spans="1:16" x14ac:dyDescent="0.2">
      <c r="A269" s="5"/>
      <c r="B269" s="5"/>
      <c r="C269" s="5"/>
      <c r="D269" s="5"/>
      <c r="E269" s="5"/>
      <c r="F269" s="5"/>
      <c r="G269" s="5"/>
      <c r="H269" s="5"/>
      <c r="I269" s="5"/>
      <c r="J269" s="5"/>
      <c r="K269" s="5"/>
      <c r="L269" s="5"/>
      <c r="M269" s="5"/>
      <c r="N269" s="5"/>
      <c r="O269" s="5"/>
      <c r="P269" s="5"/>
    </row>
    <row r="270" spans="1:16" x14ac:dyDescent="0.2">
      <c r="A270" s="213" t="s">
        <v>12</v>
      </c>
      <c r="B270" s="213"/>
      <c r="C270" s="213"/>
      <c r="D270" s="213"/>
      <c r="E270" s="213"/>
      <c r="F270" s="213"/>
      <c r="G270" s="213"/>
      <c r="H270" s="213"/>
      <c r="I270" s="213"/>
      <c r="J270" s="213"/>
      <c r="K270" s="213"/>
      <c r="L270" s="213"/>
      <c r="M270" s="213"/>
      <c r="N270" s="213"/>
      <c r="O270" s="213"/>
      <c r="P270" s="213"/>
    </row>
  </sheetData>
  <sheetProtection selectLockedCells="1" selectUnlockedCells="1"/>
  <mergeCells count="18">
    <mergeCell ref="A7:G7"/>
    <mergeCell ref="A1:P1"/>
    <mergeCell ref="A2:P2"/>
    <mergeCell ref="A3:P3"/>
    <mergeCell ref="A5:G5"/>
    <mergeCell ref="A6:G6"/>
    <mergeCell ref="A270:P270"/>
    <mergeCell ref="A11:A12"/>
    <mergeCell ref="B11:B12"/>
    <mergeCell ref="C11:C12"/>
    <mergeCell ref="D11:D12"/>
    <mergeCell ref="E11:E12"/>
    <mergeCell ref="F11:K11"/>
    <mergeCell ref="L11:P11"/>
    <mergeCell ref="B256:K256"/>
    <mergeCell ref="A260:G260"/>
    <mergeCell ref="I260:M260"/>
    <mergeCell ref="A265:G265"/>
  </mergeCells>
  <printOptions horizontalCentered="1"/>
  <pageMargins left="0.78749999999999998" right="0.39374999999999999" top="1.1812499999999999" bottom="0.39374999999999999" header="0.51180555555555551" footer="0.51180555555555551"/>
  <pageSetup paperSize="9" scale="74"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044E-7E5E-4ED3-B73D-82679D5D620C}">
  <dimension ref="A1:P65"/>
  <sheetViews>
    <sheetView showZeros="0" topLeftCell="A37" workbookViewId="0">
      <selection activeCell="N23" sqref="N23"/>
    </sheetView>
  </sheetViews>
  <sheetFormatPr defaultColWidth="8.85546875" defaultRowHeight="12" x14ac:dyDescent="0.2"/>
  <cols>
    <col min="1" max="1" width="5.85546875" style="1" customWidth="1"/>
    <col min="2" max="2" width="5.85546875" style="45" customWidth="1"/>
    <col min="3" max="3" width="41" style="45" customWidth="1"/>
    <col min="4" max="5" width="8.85546875" style="45"/>
    <col min="6" max="11" width="8.85546875" style="1"/>
    <col min="12" max="16" width="11.85546875" style="1" customWidth="1"/>
    <col min="17" max="16384" width="8.85546875" style="1"/>
  </cols>
  <sheetData>
    <row r="1" spans="1:16" x14ac:dyDescent="0.2">
      <c r="A1" s="199" t="s">
        <v>236</v>
      </c>
      <c r="B1" s="199"/>
      <c r="C1" s="199"/>
      <c r="D1" s="199"/>
      <c r="E1" s="199"/>
      <c r="F1" s="199"/>
      <c r="G1" s="199"/>
      <c r="H1" s="199"/>
      <c r="I1" s="199"/>
      <c r="J1" s="199"/>
      <c r="K1" s="199"/>
      <c r="L1" s="199"/>
      <c r="M1" s="199"/>
      <c r="N1" s="199"/>
      <c r="O1" s="199"/>
      <c r="P1" s="199"/>
    </row>
    <row r="2" spans="1:16" x14ac:dyDescent="0.2">
      <c r="A2" s="199" t="s">
        <v>32</v>
      </c>
      <c r="B2" s="199"/>
      <c r="C2" s="199"/>
      <c r="D2" s="199"/>
      <c r="E2" s="199"/>
      <c r="F2" s="199"/>
      <c r="G2" s="199"/>
      <c r="H2" s="199"/>
      <c r="I2" s="199"/>
      <c r="J2" s="199"/>
      <c r="K2" s="199"/>
      <c r="L2" s="199"/>
      <c r="M2" s="199"/>
      <c r="N2" s="199"/>
      <c r="O2" s="199"/>
      <c r="P2" s="199"/>
    </row>
    <row r="3" spans="1:16" x14ac:dyDescent="0.2">
      <c r="A3" s="213" t="s">
        <v>46</v>
      </c>
      <c r="B3" s="213"/>
      <c r="C3" s="213"/>
      <c r="D3" s="213"/>
      <c r="E3" s="213"/>
      <c r="F3" s="213"/>
      <c r="G3" s="213"/>
      <c r="H3" s="213"/>
      <c r="I3" s="213"/>
      <c r="J3" s="213"/>
      <c r="K3" s="213"/>
      <c r="L3" s="213"/>
      <c r="M3" s="213"/>
      <c r="N3" s="213"/>
      <c r="O3" s="213"/>
      <c r="P3" s="213"/>
    </row>
    <row r="4" spans="1:16" x14ac:dyDescent="0.2">
      <c r="A4" s="70"/>
      <c r="B4" s="48"/>
      <c r="C4" s="48"/>
      <c r="D4" s="49"/>
      <c r="E4" s="49"/>
      <c r="F4" s="7"/>
      <c r="G4" s="7"/>
      <c r="H4" s="2"/>
      <c r="I4" s="7"/>
      <c r="J4" s="7"/>
      <c r="K4" s="7"/>
      <c r="L4" s="7"/>
      <c r="M4" s="7"/>
      <c r="N4" s="7"/>
      <c r="O4" s="7"/>
    </row>
    <row r="5" spans="1:16" ht="20.65" customHeight="1" x14ac:dyDescent="0.2">
      <c r="A5" s="210" t="str">
        <f>Koptāme!$A$11</f>
        <v>Objekta nosaukums: Slaucamo govju kūts jaunbūve īpašumā
"Vecsašava"</v>
      </c>
      <c r="B5" s="210"/>
      <c r="C5" s="210"/>
      <c r="D5" s="210"/>
      <c r="E5" s="210"/>
      <c r="F5" s="210"/>
      <c r="G5" s="51"/>
      <c r="H5" s="51"/>
      <c r="I5" s="51"/>
      <c r="J5" s="51"/>
      <c r="K5" s="51"/>
      <c r="L5" s="51"/>
      <c r="M5" s="51"/>
      <c r="N5" s="51"/>
      <c r="O5" s="51"/>
    </row>
    <row r="6" spans="1:16" ht="20.65" customHeight="1" x14ac:dyDescent="0.2">
      <c r="A6" s="210" t="str">
        <f>Koptāme!$A$12</f>
        <v>Objekta adrese: Īpašums "Vecsašava", Mālupes pagasts,
Alūksnes novads</v>
      </c>
      <c r="B6" s="210"/>
      <c r="C6" s="210"/>
      <c r="D6" s="210"/>
      <c r="E6" s="210"/>
      <c r="F6" s="210"/>
      <c r="G6" s="7"/>
      <c r="H6" s="2"/>
      <c r="I6" s="7"/>
      <c r="J6" s="7"/>
      <c r="K6" s="7"/>
      <c r="L6" s="7"/>
      <c r="M6" s="7"/>
      <c r="N6" s="7"/>
      <c r="O6" s="7"/>
    </row>
    <row r="7" spans="1:16" ht="14.25" customHeight="1" x14ac:dyDescent="0.2">
      <c r="A7" s="210" t="str">
        <f>Koptāme!$A$13</f>
        <v>Pasūtītājs: Z/S "Jaunceriņi"</v>
      </c>
      <c r="B7" s="210"/>
      <c r="C7" s="210"/>
      <c r="D7" s="210"/>
      <c r="E7" s="210"/>
      <c r="F7" s="210"/>
      <c r="G7" s="7"/>
      <c r="H7" s="2"/>
      <c r="I7" s="7"/>
      <c r="J7" s="7"/>
      <c r="K7" s="7"/>
      <c r="L7" s="7"/>
      <c r="M7" s="7"/>
      <c r="N7" s="7"/>
      <c r="O7" s="7"/>
    </row>
    <row r="8" spans="1:16" x14ac:dyDescent="0.2">
      <c r="A8" s="49"/>
      <c r="B8" s="47"/>
      <c r="C8" s="49"/>
      <c r="D8" s="52"/>
      <c r="E8" s="52"/>
      <c r="F8" s="52"/>
      <c r="G8" s="52"/>
      <c r="H8" s="52"/>
      <c r="I8" s="52"/>
      <c r="J8" s="52"/>
      <c r="K8" s="52"/>
      <c r="L8" s="52"/>
      <c r="M8" s="52"/>
      <c r="N8" s="52"/>
      <c r="O8" s="54" t="s">
        <v>47</v>
      </c>
      <c r="P8" s="55">
        <f>P51</f>
        <v>0</v>
      </c>
    </row>
    <row r="9" spans="1:16" x14ac:dyDescent="0.2">
      <c r="A9" s="49"/>
      <c r="B9" s="47"/>
      <c r="C9" s="49"/>
      <c r="D9" s="52"/>
      <c r="E9" s="52"/>
      <c r="F9" s="52"/>
      <c r="G9" s="52"/>
      <c r="H9" s="52"/>
      <c r="I9" s="52"/>
      <c r="J9" s="52"/>
      <c r="K9" s="52"/>
      <c r="L9" s="52"/>
      <c r="M9" s="52"/>
      <c r="N9" s="56" t="str">
        <f>'1-1.DOP'!$N$9</f>
        <v xml:space="preserve">Tāme sastādīta: </v>
      </c>
      <c r="O9" s="57"/>
      <c r="P9" s="52"/>
    </row>
    <row r="10" spans="1:16" x14ac:dyDescent="0.2">
      <c r="F10" s="45"/>
      <c r="G10" s="45"/>
    </row>
    <row r="11" spans="1:16" ht="12.75" customHeight="1" x14ac:dyDescent="0.2">
      <c r="A11" s="214" t="s">
        <v>48</v>
      </c>
      <c r="B11" s="215" t="s">
        <v>49</v>
      </c>
      <c r="C11" s="214" t="s">
        <v>50</v>
      </c>
      <c r="D11" s="214" t="s">
        <v>51</v>
      </c>
      <c r="E11" s="214" t="s">
        <v>52</v>
      </c>
      <c r="F11" s="211" t="s">
        <v>53</v>
      </c>
      <c r="G11" s="211"/>
      <c r="H11" s="211"/>
      <c r="I11" s="211"/>
      <c r="J11" s="211"/>
      <c r="K11" s="211"/>
      <c r="L11" s="211" t="s">
        <v>54</v>
      </c>
      <c r="M11" s="211"/>
      <c r="N11" s="211"/>
      <c r="O11" s="211"/>
      <c r="P11" s="211"/>
    </row>
    <row r="12" spans="1:16" ht="144" x14ac:dyDescent="0.2">
      <c r="A12" s="214"/>
      <c r="B12" s="215"/>
      <c r="C12" s="214"/>
      <c r="D12" s="214"/>
      <c r="E12" s="214"/>
      <c r="F12" s="194" t="s">
        <v>55</v>
      </c>
      <c r="G12" s="194" t="s">
        <v>237</v>
      </c>
      <c r="H12" s="194" t="s">
        <v>57</v>
      </c>
      <c r="I12" s="194" t="s">
        <v>23</v>
      </c>
      <c r="J12" s="194" t="s">
        <v>58</v>
      </c>
      <c r="K12" s="194" t="s">
        <v>59</v>
      </c>
      <c r="L12" s="194" t="s">
        <v>60</v>
      </c>
      <c r="M12" s="194" t="s">
        <v>57</v>
      </c>
      <c r="N12" s="194" t="s">
        <v>23</v>
      </c>
      <c r="O12" s="194" t="s">
        <v>58</v>
      </c>
      <c r="P12" s="194" t="s">
        <v>61</v>
      </c>
    </row>
    <row r="13" spans="1:16" x14ac:dyDescent="0.2">
      <c r="A13" s="194">
        <v>1</v>
      </c>
      <c r="B13" s="194">
        <v>2</v>
      </c>
      <c r="C13" s="194">
        <v>3</v>
      </c>
      <c r="D13" s="194">
        <v>4</v>
      </c>
      <c r="E13" s="194">
        <v>5</v>
      </c>
      <c r="F13" s="194">
        <v>6</v>
      </c>
      <c r="G13" s="194">
        <v>7</v>
      </c>
      <c r="H13" s="194">
        <v>8</v>
      </c>
      <c r="I13" s="194">
        <v>9</v>
      </c>
      <c r="J13" s="194">
        <v>10</v>
      </c>
      <c r="K13" s="194">
        <v>11</v>
      </c>
      <c r="L13" s="194">
        <v>12</v>
      </c>
      <c r="M13" s="194">
        <v>13</v>
      </c>
      <c r="N13" s="194">
        <v>14</v>
      </c>
      <c r="O13" s="194">
        <v>15</v>
      </c>
      <c r="P13" s="194">
        <v>16</v>
      </c>
    </row>
    <row r="14" spans="1:16" x14ac:dyDescent="0.2">
      <c r="A14" s="58"/>
      <c r="B14" s="59"/>
      <c r="C14" s="60" t="s">
        <v>32</v>
      </c>
      <c r="D14" s="61"/>
      <c r="E14" s="58"/>
      <c r="F14" s="58"/>
      <c r="G14" s="58"/>
      <c r="H14" s="58"/>
      <c r="I14" s="58"/>
      <c r="J14" s="58"/>
      <c r="K14" s="58"/>
      <c r="L14" s="58"/>
      <c r="M14" s="58"/>
      <c r="N14" s="58"/>
      <c r="O14" s="58"/>
      <c r="P14" s="58"/>
    </row>
    <row r="15" spans="1:16" x14ac:dyDescent="0.2">
      <c r="A15" s="80">
        <f>IF(D15="","",COUNTIF(B$13:$B15,"l.c"))</f>
        <v>1</v>
      </c>
      <c r="B15" s="80" t="str">
        <f t="shared" ref="B15:B32" si="0">IF(D15="","","l.c")</f>
        <v>l.c</v>
      </c>
      <c r="C15" s="14" t="s">
        <v>238</v>
      </c>
      <c r="D15" s="195" t="s">
        <v>107</v>
      </c>
      <c r="E15" s="63">
        <v>1</v>
      </c>
      <c r="F15" s="65"/>
      <c r="G15" s="64"/>
      <c r="H15" s="64"/>
      <c r="I15" s="64"/>
      <c r="J15" s="64"/>
      <c r="K15" s="64"/>
      <c r="L15" s="64"/>
      <c r="M15" s="64"/>
      <c r="N15" s="64"/>
      <c r="O15" s="64"/>
      <c r="P15" s="64"/>
    </row>
    <row r="16" spans="1:16" x14ac:dyDescent="0.2">
      <c r="A16" s="80">
        <f>IF(D16="","",COUNTIF(B$13:$B16,"l.c"))</f>
        <v>2</v>
      </c>
      <c r="B16" s="80" t="str">
        <f>IF(D16="","","l.c")</f>
        <v>l.c</v>
      </c>
      <c r="C16" s="14" t="s">
        <v>239</v>
      </c>
      <c r="D16" s="195" t="s">
        <v>65</v>
      </c>
      <c r="E16" s="63">
        <f>166</f>
        <v>166</v>
      </c>
      <c r="F16" s="65"/>
      <c r="G16" s="64"/>
      <c r="H16" s="64"/>
      <c r="I16" s="64"/>
      <c r="J16" s="64"/>
      <c r="K16" s="64"/>
      <c r="L16" s="64"/>
      <c r="M16" s="64"/>
      <c r="N16" s="64"/>
      <c r="O16" s="64"/>
      <c r="P16" s="64"/>
    </row>
    <row r="17" spans="1:16" x14ac:dyDescent="0.2">
      <c r="A17" s="80">
        <f>IF(D17="","",COUNTIF(B$13:$B17,"l.c"))</f>
        <v>3</v>
      </c>
      <c r="B17" s="80" t="str">
        <f>IF(D17="","","l.c")</f>
        <v>l.c</v>
      </c>
      <c r="C17" s="14" t="s">
        <v>240</v>
      </c>
      <c r="D17" s="195" t="s">
        <v>65</v>
      </c>
      <c r="E17" s="63">
        <f>18.4+16.6+10.8+14</f>
        <v>59.8</v>
      </c>
      <c r="F17" s="65"/>
      <c r="G17" s="64"/>
      <c r="H17" s="64"/>
      <c r="I17" s="64"/>
      <c r="J17" s="64"/>
      <c r="K17" s="64"/>
      <c r="L17" s="64"/>
      <c r="M17" s="64"/>
      <c r="N17" s="64"/>
      <c r="O17" s="64"/>
      <c r="P17" s="64"/>
    </row>
    <row r="18" spans="1:16" x14ac:dyDescent="0.2">
      <c r="A18" s="80">
        <f>IF(D18="","",COUNTIF(B$13:$B18,"l.c"))</f>
        <v>4</v>
      </c>
      <c r="B18" s="80" t="str">
        <f>IF(D18="","","l.c")</f>
        <v>l.c</v>
      </c>
      <c r="C18" s="14" t="s">
        <v>241</v>
      </c>
      <c r="D18" s="195" t="s">
        <v>109</v>
      </c>
      <c r="E18" s="63">
        <v>3</v>
      </c>
      <c r="F18" s="65"/>
      <c r="G18" s="64"/>
      <c r="H18" s="64"/>
      <c r="I18" s="64"/>
      <c r="J18" s="64"/>
      <c r="K18" s="64"/>
      <c r="L18" s="64"/>
      <c r="M18" s="64"/>
      <c r="N18" s="64"/>
      <c r="O18" s="64"/>
      <c r="P18" s="64"/>
    </row>
    <row r="19" spans="1:16" ht="48" x14ac:dyDescent="0.2">
      <c r="A19" s="80">
        <f>IF(D19="","",COUNTIF(B$13:$B19,"l.c"))</f>
        <v>5</v>
      </c>
      <c r="B19" s="80" t="str">
        <f>IF(D19="","","l.c")</f>
        <v>l.c</v>
      </c>
      <c r="C19" s="14" t="s">
        <v>242</v>
      </c>
      <c r="D19" s="195" t="s">
        <v>107</v>
      </c>
      <c r="E19" s="63">
        <v>1</v>
      </c>
      <c r="F19" s="65"/>
      <c r="G19" s="64"/>
      <c r="H19" s="64"/>
      <c r="I19" s="64"/>
      <c r="J19" s="64"/>
      <c r="K19" s="64"/>
      <c r="L19" s="64"/>
      <c r="M19" s="64"/>
      <c r="N19" s="64"/>
      <c r="O19" s="64"/>
      <c r="P19" s="64"/>
    </row>
    <row r="20" spans="1:16" x14ac:dyDescent="0.2">
      <c r="A20" s="80"/>
      <c r="B20" s="80"/>
      <c r="C20" s="14"/>
      <c r="D20" s="195"/>
      <c r="E20" s="63"/>
      <c r="F20" s="65"/>
      <c r="G20" s="64"/>
      <c r="H20" s="64"/>
      <c r="I20" s="64"/>
      <c r="J20" s="64"/>
      <c r="K20" s="64"/>
      <c r="L20" s="64"/>
      <c r="M20" s="64"/>
      <c r="N20" s="64"/>
      <c r="O20" s="64"/>
      <c r="P20" s="64"/>
    </row>
    <row r="21" spans="1:16" x14ac:dyDescent="0.2">
      <c r="A21" s="80" t="str">
        <f>IF(D21="","",COUNTIF(B$13:$B21,"l.c"))</f>
        <v/>
      </c>
      <c r="B21" s="80" t="str">
        <f t="shared" si="0"/>
        <v/>
      </c>
      <c r="C21" s="75" t="s">
        <v>243</v>
      </c>
      <c r="D21" s="93"/>
      <c r="E21" s="89"/>
      <c r="F21" s="65"/>
      <c r="G21" s="64"/>
      <c r="H21" s="64"/>
      <c r="I21" s="64"/>
      <c r="J21" s="64"/>
      <c r="K21" s="64"/>
      <c r="L21" s="64"/>
      <c r="M21" s="64"/>
      <c r="N21" s="64"/>
      <c r="O21" s="64"/>
      <c r="P21" s="64"/>
    </row>
    <row r="22" spans="1:16" x14ac:dyDescent="0.2">
      <c r="A22" s="80"/>
      <c r="B22" s="80"/>
      <c r="C22" s="81" t="s">
        <v>244</v>
      </c>
      <c r="D22" s="76" t="s">
        <v>116</v>
      </c>
      <c r="E22" s="89">
        <f>1281.9</f>
        <v>1281.9000000000001</v>
      </c>
      <c r="F22" s="65"/>
      <c r="G22" s="64"/>
      <c r="H22" s="64"/>
      <c r="I22" s="64"/>
      <c r="J22" s="64"/>
      <c r="K22" s="64"/>
      <c r="L22" s="64"/>
      <c r="M22" s="64"/>
      <c r="N22" s="64"/>
      <c r="O22" s="64"/>
      <c r="P22" s="64"/>
    </row>
    <row r="23" spans="1:16" x14ac:dyDescent="0.2">
      <c r="A23" s="80">
        <f>IF(D23="","",COUNTIF(B$13:$B23,"l.c"))</f>
        <v>6</v>
      </c>
      <c r="B23" s="80" t="str">
        <f t="shared" si="0"/>
        <v>l.c</v>
      </c>
      <c r="C23" s="14" t="s">
        <v>245</v>
      </c>
      <c r="D23" s="13" t="s">
        <v>116</v>
      </c>
      <c r="E23" s="63">
        <f>E22</f>
        <v>1281.9000000000001</v>
      </c>
      <c r="F23" s="65"/>
      <c r="G23" s="64"/>
      <c r="H23" s="64"/>
      <c r="I23" s="64"/>
      <c r="J23" s="64"/>
      <c r="K23" s="64"/>
      <c r="L23" s="64"/>
      <c r="M23" s="64"/>
      <c r="N23" s="64"/>
      <c r="O23" s="64"/>
      <c r="P23" s="64"/>
    </row>
    <row r="24" spans="1:16" ht="24" x14ac:dyDescent="0.2">
      <c r="A24" s="80">
        <f>IF(D24="","",COUNTIF(B$13:$B24,"l.c"))</f>
        <v>7</v>
      </c>
      <c r="B24" s="80" t="str">
        <f t="shared" si="0"/>
        <v>l.c</v>
      </c>
      <c r="C24" s="14" t="s">
        <v>246</v>
      </c>
      <c r="D24" s="195" t="s">
        <v>93</v>
      </c>
      <c r="E24" s="63">
        <f>E22*0.3</f>
        <v>384.57</v>
      </c>
      <c r="F24" s="65"/>
      <c r="G24" s="64"/>
      <c r="H24" s="64"/>
      <c r="I24" s="64"/>
      <c r="J24" s="64"/>
      <c r="K24" s="64"/>
      <c r="L24" s="64"/>
      <c r="M24" s="64"/>
      <c r="N24" s="64"/>
      <c r="O24" s="64"/>
      <c r="P24" s="64"/>
    </row>
    <row r="25" spans="1:16" ht="24" x14ac:dyDescent="0.2">
      <c r="A25" s="80">
        <f>IF(D25="","",COUNTIF(B$13:$B25,"l.c"))</f>
        <v>8</v>
      </c>
      <c r="B25" s="80" t="str">
        <f t="shared" si="0"/>
        <v>l.c</v>
      </c>
      <c r="C25" s="14" t="s">
        <v>247</v>
      </c>
      <c r="D25" s="195" t="s">
        <v>93</v>
      </c>
      <c r="E25" s="63">
        <f>E22*0.25</f>
        <v>320.48</v>
      </c>
      <c r="F25" s="65"/>
      <c r="G25" s="64"/>
      <c r="H25" s="64"/>
      <c r="I25" s="64"/>
      <c r="J25" s="64"/>
      <c r="K25" s="64"/>
      <c r="L25" s="64"/>
      <c r="M25" s="64"/>
      <c r="N25" s="64"/>
      <c r="O25" s="64"/>
      <c r="P25" s="64"/>
    </row>
    <row r="26" spans="1:16" x14ac:dyDescent="0.2">
      <c r="A26" s="80"/>
      <c r="B26" s="80"/>
      <c r="C26" s="14"/>
      <c r="D26" s="195"/>
      <c r="E26" s="63"/>
      <c r="F26" s="65"/>
      <c r="G26" s="64"/>
      <c r="H26" s="64"/>
      <c r="I26" s="64"/>
      <c r="J26" s="64"/>
      <c r="K26" s="64"/>
      <c r="L26" s="64"/>
      <c r="M26" s="64"/>
      <c r="N26" s="64"/>
      <c r="O26" s="64"/>
      <c r="P26" s="64"/>
    </row>
    <row r="27" spans="1:16" x14ac:dyDescent="0.2">
      <c r="A27" s="80"/>
      <c r="B27" s="80"/>
      <c r="C27" s="81" t="s">
        <v>248</v>
      </c>
      <c r="D27" s="76" t="s">
        <v>116</v>
      </c>
      <c r="E27" s="89">
        <f>82.7</f>
        <v>82.7</v>
      </c>
      <c r="F27" s="65"/>
      <c r="G27" s="64"/>
      <c r="H27" s="64"/>
      <c r="I27" s="64"/>
      <c r="J27" s="64"/>
      <c r="K27" s="64"/>
      <c r="L27" s="64"/>
      <c r="M27" s="64"/>
      <c r="N27" s="64"/>
      <c r="O27" s="64"/>
      <c r="P27" s="64"/>
    </row>
    <row r="28" spans="1:16" x14ac:dyDescent="0.2">
      <c r="A28" s="80">
        <f>IF(D28="","",COUNTIF(B$13:$B28,"l.c"))</f>
        <v>9</v>
      </c>
      <c r="B28" s="80" t="str">
        <f t="shared" ref="B28:B30" si="1">IF(D28="","","l.c")</f>
        <v>l.c</v>
      </c>
      <c r="C28" s="14" t="s">
        <v>245</v>
      </c>
      <c r="D28" s="13" t="s">
        <v>116</v>
      </c>
      <c r="E28" s="63">
        <f>E27</f>
        <v>82.7</v>
      </c>
      <c r="F28" s="65"/>
      <c r="G28" s="64"/>
      <c r="H28" s="64"/>
      <c r="I28" s="64"/>
      <c r="J28" s="64"/>
      <c r="K28" s="64"/>
      <c r="L28" s="64"/>
      <c r="M28" s="64"/>
      <c r="N28" s="64"/>
      <c r="O28" s="64"/>
      <c r="P28" s="64"/>
    </row>
    <row r="29" spans="1:16" ht="24" x14ac:dyDescent="0.2">
      <c r="A29" s="80">
        <f>IF(D29="","",COUNTIF(B$13:$B29,"l.c"))</f>
        <v>10</v>
      </c>
      <c r="B29" s="80" t="str">
        <f t="shared" si="1"/>
        <v>l.c</v>
      </c>
      <c r="C29" s="14" t="s">
        <v>246</v>
      </c>
      <c r="D29" s="195" t="s">
        <v>93</v>
      </c>
      <c r="E29" s="63">
        <f>E27*0.3</f>
        <v>24.81</v>
      </c>
      <c r="F29" s="65"/>
      <c r="G29" s="64"/>
      <c r="H29" s="64"/>
      <c r="I29" s="64"/>
      <c r="J29" s="64"/>
      <c r="K29" s="64"/>
      <c r="L29" s="64"/>
      <c r="M29" s="64"/>
      <c r="N29" s="64"/>
      <c r="O29" s="64"/>
      <c r="P29" s="64"/>
    </row>
    <row r="30" spans="1:16" ht="24" x14ac:dyDescent="0.2">
      <c r="A30" s="80">
        <f>IF(D30="","",COUNTIF(B$13:$B30,"l.c"))</f>
        <v>11</v>
      </c>
      <c r="B30" s="80" t="str">
        <f t="shared" si="1"/>
        <v>l.c</v>
      </c>
      <c r="C30" s="14" t="s">
        <v>247</v>
      </c>
      <c r="D30" s="195" t="s">
        <v>93</v>
      </c>
      <c r="E30" s="63">
        <f>E27*0.25</f>
        <v>20.68</v>
      </c>
      <c r="F30" s="65"/>
      <c r="G30" s="64"/>
      <c r="H30" s="64"/>
      <c r="I30" s="64"/>
      <c r="J30" s="64"/>
      <c r="K30" s="64"/>
      <c r="L30" s="64"/>
      <c r="M30" s="64"/>
      <c r="N30" s="64"/>
      <c r="O30" s="64"/>
      <c r="P30" s="64"/>
    </row>
    <row r="31" spans="1:16" ht="24" x14ac:dyDescent="0.2">
      <c r="A31" s="80">
        <f>IF(D31="","",COUNTIF(B$13:$B31,"l.c"))</f>
        <v>12</v>
      </c>
      <c r="B31" s="80" t="str">
        <f>IF(D31="","","l.c")</f>
        <v>l.c</v>
      </c>
      <c r="C31" s="14" t="s">
        <v>249</v>
      </c>
      <c r="D31" s="195" t="s">
        <v>116</v>
      </c>
      <c r="E31" s="63">
        <f>E27</f>
        <v>82.7</v>
      </c>
      <c r="F31" s="65"/>
      <c r="G31" s="64"/>
      <c r="H31" s="64"/>
      <c r="I31" s="64"/>
      <c r="J31" s="64"/>
      <c r="K31" s="64"/>
      <c r="L31" s="64"/>
      <c r="M31" s="64"/>
      <c r="N31" s="64"/>
      <c r="O31" s="64"/>
      <c r="P31" s="64"/>
    </row>
    <row r="32" spans="1:16" x14ac:dyDescent="0.2">
      <c r="A32" s="80" t="str">
        <f>IF(D32="","",COUNTIF(B$13:$B32,"l.c"))</f>
        <v/>
      </c>
      <c r="B32" s="80" t="str">
        <f t="shared" si="0"/>
        <v/>
      </c>
      <c r="C32" s="83"/>
      <c r="D32" s="59"/>
      <c r="E32" s="88"/>
      <c r="F32" s="65"/>
      <c r="G32" s="64"/>
      <c r="H32" s="64"/>
      <c r="I32" s="64"/>
      <c r="J32" s="64"/>
      <c r="K32" s="64"/>
      <c r="L32" s="64"/>
      <c r="M32" s="64"/>
      <c r="N32" s="64"/>
      <c r="O32" s="64"/>
      <c r="P32" s="64"/>
    </row>
    <row r="33" spans="1:16" x14ac:dyDescent="0.2">
      <c r="A33" s="80"/>
      <c r="B33" s="80"/>
      <c r="C33" s="72"/>
      <c r="D33" s="76"/>
      <c r="E33" s="89"/>
      <c r="F33" s="65"/>
      <c r="G33" s="64"/>
      <c r="H33" s="64"/>
      <c r="I33" s="64"/>
      <c r="J33" s="64"/>
      <c r="K33" s="64"/>
      <c r="L33" s="64"/>
      <c r="M33" s="64"/>
      <c r="N33" s="64"/>
      <c r="O33" s="64"/>
      <c r="P33" s="64"/>
    </row>
    <row r="34" spans="1:16" x14ac:dyDescent="0.2">
      <c r="A34" s="80"/>
      <c r="B34" s="80"/>
      <c r="C34" s="14"/>
      <c r="D34" s="13"/>
      <c r="E34" s="63"/>
      <c r="F34" s="65"/>
      <c r="G34" s="64"/>
      <c r="H34" s="64"/>
      <c r="I34" s="64"/>
      <c r="J34" s="64"/>
      <c r="K34" s="64"/>
      <c r="L34" s="64"/>
      <c r="M34" s="64"/>
      <c r="N34" s="64"/>
      <c r="O34" s="64"/>
      <c r="P34" s="64"/>
    </row>
    <row r="35" spans="1:16" x14ac:dyDescent="0.2">
      <c r="A35" s="80"/>
      <c r="B35" s="80"/>
      <c r="C35" s="14"/>
      <c r="D35" s="13"/>
      <c r="E35" s="63"/>
      <c r="F35" s="65"/>
      <c r="G35" s="64"/>
      <c r="H35" s="64"/>
      <c r="I35" s="64"/>
      <c r="J35" s="64"/>
      <c r="K35" s="64"/>
      <c r="L35" s="64"/>
      <c r="M35" s="64"/>
      <c r="N35" s="64"/>
      <c r="O35" s="64"/>
      <c r="P35" s="64"/>
    </row>
    <row r="36" spans="1:16" x14ac:dyDescent="0.2">
      <c r="A36" s="80" t="str">
        <f>IF(D36="","",COUNTIF(B$13:$B36,"l.c"))</f>
        <v/>
      </c>
      <c r="B36" s="80"/>
      <c r="C36" s="14"/>
      <c r="D36" s="13"/>
      <c r="E36" s="63"/>
      <c r="F36" s="65"/>
      <c r="G36" s="64"/>
      <c r="H36" s="64"/>
      <c r="I36" s="64"/>
      <c r="J36" s="64"/>
      <c r="K36" s="64"/>
      <c r="L36" s="64"/>
      <c r="M36" s="64"/>
      <c r="N36" s="64"/>
      <c r="O36" s="64"/>
      <c r="P36" s="64"/>
    </row>
    <row r="37" spans="1:16" x14ac:dyDescent="0.2">
      <c r="A37" s="80"/>
      <c r="B37" s="80"/>
      <c r="C37" s="72" t="s">
        <v>250</v>
      </c>
      <c r="D37" s="76" t="s">
        <v>65</v>
      </c>
      <c r="E37" s="89">
        <f>118</f>
        <v>118</v>
      </c>
      <c r="F37" s="65"/>
      <c r="G37" s="64"/>
      <c r="H37" s="64"/>
      <c r="I37" s="64"/>
      <c r="J37" s="64"/>
      <c r="K37" s="64"/>
      <c r="L37" s="64"/>
      <c r="M37" s="64"/>
      <c r="N37" s="64"/>
      <c r="O37" s="64"/>
      <c r="P37" s="64"/>
    </row>
    <row r="38" spans="1:16" ht="36" x14ac:dyDescent="0.2">
      <c r="A38" s="80">
        <f>A35+1</f>
        <v>1</v>
      </c>
      <c r="B38" s="80" t="str">
        <f t="shared" ref="B38:B39" si="2">IF(D38="","","l.c")</f>
        <v>l.c</v>
      </c>
      <c r="C38" s="14" t="s">
        <v>251</v>
      </c>
      <c r="D38" s="13" t="s">
        <v>65</v>
      </c>
      <c r="E38" s="63">
        <f>E37</f>
        <v>118</v>
      </c>
      <c r="F38" s="65"/>
      <c r="G38" s="64"/>
      <c r="H38" s="64"/>
      <c r="I38" s="64"/>
      <c r="J38" s="64"/>
      <c r="K38" s="64"/>
      <c r="L38" s="64"/>
      <c r="M38" s="64"/>
      <c r="N38" s="64"/>
      <c r="O38" s="64"/>
      <c r="P38" s="64"/>
    </row>
    <row r="39" spans="1:16" x14ac:dyDescent="0.2">
      <c r="A39" s="80">
        <f>IF(D39="","",COUNTIF(B$13:$B39,"l.c"))</f>
        <v>14</v>
      </c>
      <c r="B39" s="80" t="str">
        <f t="shared" si="2"/>
        <v>l.c</v>
      </c>
      <c r="C39" s="14" t="s">
        <v>252</v>
      </c>
      <c r="D39" s="13" t="s">
        <v>109</v>
      </c>
      <c r="E39" s="63">
        <v>1</v>
      </c>
      <c r="F39" s="65"/>
      <c r="G39" s="64"/>
      <c r="H39" s="64"/>
      <c r="I39" s="64"/>
      <c r="J39" s="64"/>
      <c r="K39" s="64"/>
      <c r="L39" s="64"/>
      <c r="M39" s="64"/>
      <c r="N39" s="64"/>
      <c r="O39" s="64"/>
      <c r="P39" s="64"/>
    </row>
    <row r="40" spans="1:16" ht="12" customHeight="1" x14ac:dyDescent="0.2">
      <c r="A40" s="80"/>
      <c r="B40" s="80"/>
      <c r="C40" s="14"/>
      <c r="D40" s="13"/>
      <c r="E40" s="63"/>
      <c r="F40" s="65"/>
      <c r="G40" s="64"/>
      <c r="H40" s="64"/>
      <c r="I40" s="64"/>
      <c r="J40" s="64"/>
      <c r="K40" s="64"/>
      <c r="L40" s="64"/>
      <c r="M40" s="64"/>
      <c r="N40" s="64"/>
      <c r="O40" s="64"/>
      <c r="P40" s="64"/>
    </row>
    <row r="41" spans="1:16" x14ac:dyDescent="0.2">
      <c r="A41" s="80"/>
      <c r="B41" s="80"/>
      <c r="C41" s="72" t="s">
        <v>253</v>
      </c>
      <c r="D41" s="76"/>
      <c r="E41" s="89"/>
      <c r="F41" s="65"/>
      <c r="G41" s="64"/>
      <c r="H41" s="64"/>
      <c r="I41" s="64"/>
      <c r="J41" s="64"/>
      <c r="K41" s="64"/>
      <c r="L41" s="64"/>
      <c r="M41" s="64"/>
      <c r="N41" s="64"/>
      <c r="O41" s="64"/>
      <c r="P41" s="64"/>
    </row>
    <row r="42" spans="1:16" ht="24" x14ac:dyDescent="0.2">
      <c r="A42" s="80">
        <f>IF(D42="","",COUNTIF(B$13:$B42,"l.c"))</f>
        <v>15</v>
      </c>
      <c r="B42" s="80" t="str">
        <f>IF(D42="","","l.c")</f>
        <v>l.c</v>
      </c>
      <c r="C42" s="14" t="s">
        <v>99</v>
      </c>
      <c r="D42" s="13" t="s">
        <v>93</v>
      </c>
      <c r="E42" s="63">
        <f>31*37*0.4</f>
        <v>458.8</v>
      </c>
      <c r="F42" s="65"/>
      <c r="G42" s="64"/>
      <c r="H42" s="64"/>
      <c r="I42" s="64"/>
      <c r="J42" s="64"/>
      <c r="K42" s="64"/>
      <c r="L42" s="64"/>
      <c r="M42" s="64"/>
      <c r="N42" s="64"/>
      <c r="O42" s="64"/>
      <c r="P42" s="64"/>
    </row>
    <row r="43" spans="1:16" ht="24" x14ac:dyDescent="0.2">
      <c r="A43" s="80">
        <f>IF(D43="","",COUNTIF(B$13:$B43,"l.c"))</f>
        <v>16</v>
      </c>
      <c r="B43" s="80" t="str">
        <f>IF(D43="","","l.c")</f>
        <v>l.c</v>
      </c>
      <c r="C43" s="14" t="s">
        <v>254</v>
      </c>
      <c r="D43" s="13" t="s">
        <v>93</v>
      </c>
      <c r="E43" s="84">
        <f>0.8667*1135.2*1.3</f>
        <v>1279.04</v>
      </c>
      <c r="F43" s="65"/>
      <c r="G43" s="64"/>
      <c r="H43" s="64"/>
      <c r="I43" s="64"/>
      <c r="J43" s="64"/>
      <c r="K43" s="64"/>
      <c r="L43" s="64"/>
      <c r="M43" s="64"/>
      <c r="N43" s="64"/>
      <c r="O43" s="64"/>
      <c r="P43" s="64"/>
    </row>
    <row r="44" spans="1:16" ht="36" x14ac:dyDescent="0.2">
      <c r="A44" s="80">
        <f>IF(D44="","",COUNTIF(B$13:$B44,"l.c"))</f>
        <v>17</v>
      </c>
      <c r="B44" s="80" t="str">
        <f>IF(D44="","","l.c")</f>
        <v>l.c</v>
      </c>
      <c r="C44" s="14" t="s">
        <v>255</v>
      </c>
      <c r="D44" s="13" t="s">
        <v>93</v>
      </c>
      <c r="E44" s="63">
        <f>1.4/3*(540.8+755+639.3)+421</f>
        <v>1324.05</v>
      </c>
      <c r="F44" s="65"/>
      <c r="G44" s="64"/>
      <c r="H44" s="64"/>
      <c r="I44" s="64"/>
      <c r="J44" s="64"/>
      <c r="K44" s="64"/>
      <c r="L44" s="64"/>
      <c r="M44" s="64"/>
      <c r="N44" s="64"/>
      <c r="O44" s="64"/>
      <c r="P44" s="64"/>
    </row>
    <row r="45" spans="1:16" ht="11.65" customHeight="1" x14ac:dyDescent="0.2">
      <c r="A45" s="80">
        <f>IF(D45="","",COUNTIF(B$13:$B45,"l.c"))</f>
        <v>18</v>
      </c>
      <c r="B45" s="80" t="str">
        <f>IF(D45="","","l.c")</f>
        <v>l.c</v>
      </c>
      <c r="C45" s="85" t="s">
        <v>130</v>
      </c>
      <c r="D45" s="13" t="s">
        <v>116</v>
      </c>
      <c r="E45" s="63">
        <f>13*18.2</f>
        <v>236.6</v>
      </c>
      <c r="F45" s="65"/>
      <c r="G45" s="64"/>
      <c r="H45" s="64"/>
      <c r="I45" s="64"/>
      <c r="J45" s="64"/>
      <c r="K45" s="64"/>
      <c r="L45" s="64"/>
      <c r="M45" s="64"/>
      <c r="N45" s="64"/>
      <c r="O45" s="64"/>
      <c r="P45" s="64"/>
    </row>
    <row r="46" spans="1:16" ht="11.65" customHeight="1" x14ac:dyDescent="0.2">
      <c r="A46" s="80">
        <f>IF(D46="","",COUNTIF(B$13:$B46,"l.c"))</f>
        <v>19</v>
      </c>
      <c r="B46" s="80" t="str">
        <f t="shared" ref="B46:B47" si="3">IF(D46="","","l.c")</f>
        <v>l.c</v>
      </c>
      <c r="C46" s="83" t="s">
        <v>256</v>
      </c>
      <c r="D46" s="59" t="s">
        <v>93</v>
      </c>
      <c r="E46" s="63">
        <f>E45*0.2</f>
        <v>47.32</v>
      </c>
      <c r="F46" s="65"/>
      <c r="G46" s="64"/>
      <c r="H46" s="64"/>
      <c r="I46" s="64"/>
      <c r="J46" s="64"/>
      <c r="K46" s="64"/>
      <c r="L46" s="64"/>
      <c r="M46" s="64"/>
      <c r="N46" s="64"/>
      <c r="O46" s="64"/>
      <c r="P46" s="64"/>
    </row>
    <row r="47" spans="1:16" ht="24" x14ac:dyDescent="0.2">
      <c r="A47" s="80">
        <f>IF(D47="","",COUNTIF(B$13:$B47,"l.c"))</f>
        <v>20</v>
      </c>
      <c r="B47" s="80" t="str">
        <f t="shared" si="3"/>
        <v>l.c</v>
      </c>
      <c r="C47" s="85" t="s">
        <v>257</v>
      </c>
      <c r="D47" s="13" t="s">
        <v>116</v>
      </c>
      <c r="E47" s="63">
        <f>(13*18.2+0.5*(62.4+110.4)*7.211+301)*1.1</f>
        <v>1276.69</v>
      </c>
      <c r="F47" s="65"/>
      <c r="G47" s="64"/>
      <c r="H47" s="64"/>
      <c r="I47" s="64"/>
      <c r="J47" s="64"/>
      <c r="K47" s="64"/>
      <c r="L47" s="64"/>
      <c r="M47" s="64"/>
      <c r="N47" s="64"/>
      <c r="O47" s="64"/>
      <c r="P47" s="64"/>
    </row>
    <row r="48" spans="1:16" x14ac:dyDescent="0.2">
      <c r="A48" s="80">
        <f>IF(D48="","",COUNTIF(B$13:$B48,"l.c"))</f>
        <v>21</v>
      </c>
      <c r="B48" s="80" t="str">
        <f>IF(D48="","","l.c")</f>
        <v>l.c</v>
      </c>
      <c r="C48" s="85" t="s">
        <v>258</v>
      </c>
      <c r="D48" s="13" t="s">
        <v>101</v>
      </c>
      <c r="E48" s="63">
        <f>66</f>
        <v>66</v>
      </c>
      <c r="F48" s="65"/>
      <c r="G48" s="64"/>
      <c r="H48" s="64"/>
      <c r="I48" s="64"/>
      <c r="J48" s="64"/>
      <c r="K48" s="64"/>
      <c r="L48" s="64"/>
      <c r="M48" s="64"/>
      <c r="N48" s="64"/>
      <c r="O48" s="64"/>
      <c r="P48" s="64"/>
    </row>
    <row r="49" spans="1:16" x14ac:dyDescent="0.2">
      <c r="A49" s="80">
        <f>IF(D49="","",COUNTIF(B$13:$B49,"l.c"))</f>
        <v>22</v>
      </c>
      <c r="B49" s="80" t="str">
        <f>IF(D49="","","l.c")</f>
        <v>l.c</v>
      </c>
      <c r="C49" s="85" t="s">
        <v>259</v>
      </c>
      <c r="D49" s="13" t="s">
        <v>109</v>
      </c>
      <c r="E49" s="63">
        <v>1</v>
      </c>
      <c r="F49" s="65"/>
      <c r="G49" s="64"/>
      <c r="H49" s="64"/>
      <c r="I49" s="64"/>
      <c r="J49" s="64"/>
      <c r="K49" s="64"/>
      <c r="L49" s="64"/>
      <c r="M49" s="64"/>
      <c r="N49" s="64"/>
      <c r="O49" s="64"/>
      <c r="P49" s="64"/>
    </row>
    <row r="50" spans="1:16" ht="12" customHeight="1" x14ac:dyDescent="0.2">
      <c r="A50" s="80"/>
      <c r="B50" s="80"/>
      <c r="C50" s="14"/>
      <c r="D50" s="13"/>
      <c r="E50" s="63"/>
      <c r="F50" s="65"/>
      <c r="G50" s="65"/>
      <c r="H50" s="65"/>
      <c r="I50" s="65"/>
      <c r="J50" s="65"/>
      <c r="K50" s="65"/>
      <c r="L50" s="65"/>
      <c r="M50" s="65"/>
      <c r="N50" s="65"/>
      <c r="O50" s="65"/>
      <c r="P50" s="65"/>
    </row>
    <row r="51" spans="1:16" ht="14.65" customHeight="1" x14ac:dyDescent="0.2">
      <c r="A51" s="71"/>
      <c r="B51" s="212" t="s">
        <v>86</v>
      </c>
      <c r="C51" s="212"/>
      <c r="D51" s="212"/>
      <c r="E51" s="212"/>
      <c r="F51" s="212"/>
      <c r="G51" s="212"/>
      <c r="H51" s="212"/>
      <c r="I51" s="212"/>
      <c r="J51" s="212"/>
      <c r="K51" s="212"/>
      <c r="L51" s="66">
        <f>SUM(L14:L49)</f>
        <v>0</v>
      </c>
      <c r="M51" s="66">
        <f t="shared" ref="M51:P51" si="4">SUM(M14:M49)</f>
        <v>0</v>
      </c>
      <c r="N51" s="66">
        <f t="shared" si="4"/>
        <v>0</v>
      </c>
      <c r="O51" s="66">
        <f t="shared" si="4"/>
        <v>0</v>
      </c>
      <c r="P51" s="66">
        <f t="shared" si="4"/>
        <v>0</v>
      </c>
    </row>
    <row r="52" spans="1:16" x14ac:dyDescent="0.2">
      <c r="A52" s="5"/>
      <c r="B52" s="5"/>
      <c r="C52" s="9"/>
      <c r="D52" s="5"/>
      <c r="E52" s="5"/>
      <c r="F52" s="5"/>
      <c r="G52" s="5"/>
      <c r="H52" s="5"/>
      <c r="I52" s="5"/>
      <c r="J52" s="5"/>
      <c r="K52" s="5"/>
      <c r="L52" s="5"/>
      <c r="M52" s="5"/>
      <c r="N52" s="5"/>
      <c r="O52" s="5"/>
      <c r="P52" s="5"/>
    </row>
    <row r="53" spans="1:16" x14ac:dyDescent="0.2">
      <c r="A53" s="5"/>
      <c r="B53" s="5"/>
      <c r="C53" s="9"/>
      <c r="D53" s="5"/>
      <c r="E53" s="5"/>
      <c r="F53" s="5"/>
      <c r="G53" s="5"/>
      <c r="H53" s="5"/>
      <c r="I53" s="5"/>
      <c r="J53" s="5"/>
      <c r="K53" s="5"/>
      <c r="L53" s="5"/>
      <c r="M53" s="5"/>
      <c r="N53" s="5"/>
      <c r="O53" s="5"/>
      <c r="P53" s="5"/>
    </row>
    <row r="54" spans="1:16" x14ac:dyDescent="0.2">
      <c r="A54" s="19" t="s">
        <v>9</v>
      </c>
      <c r="B54" s="19"/>
      <c r="C54" s="19"/>
      <c r="D54" s="19"/>
      <c r="E54" s="19"/>
      <c r="F54" s="19"/>
      <c r="G54" s="20"/>
      <c r="H54" s="20"/>
      <c r="I54" s="20"/>
      <c r="J54" s="20"/>
      <c r="K54" s="20"/>
      <c r="L54" s="20"/>
      <c r="M54" s="20"/>
      <c r="N54" s="20"/>
      <c r="O54" s="68"/>
      <c r="P54" s="26"/>
    </row>
    <row r="55" spans="1:16" ht="11.65" customHeight="1" x14ac:dyDescent="0.2">
      <c r="A55" s="202" t="s">
        <v>10</v>
      </c>
      <c r="B55" s="202"/>
      <c r="C55" s="202"/>
      <c r="D55" s="202"/>
      <c r="E55" s="202"/>
      <c r="F55" s="202"/>
      <c r="G55" s="20"/>
      <c r="H55" s="94"/>
      <c r="I55" s="94"/>
      <c r="J55" s="94"/>
      <c r="K55" s="94"/>
      <c r="L55" s="94"/>
      <c r="M55" s="5"/>
      <c r="N55" s="5"/>
      <c r="O55" s="5"/>
      <c r="P55" s="5"/>
    </row>
    <row r="56" spans="1:16" x14ac:dyDescent="0.2">
      <c r="A56" s="20"/>
      <c r="B56" s="69"/>
      <c r="C56" s="69"/>
      <c r="D56" s="69"/>
      <c r="E56" s="69"/>
      <c r="F56" s="69"/>
      <c r="G56" s="20"/>
      <c r="H56" s="69"/>
      <c r="I56" s="69"/>
      <c r="J56" s="69"/>
      <c r="K56" s="69"/>
      <c r="L56" s="69"/>
      <c r="M56" s="5"/>
      <c r="N56" s="5"/>
      <c r="O56" s="5"/>
      <c r="P56" s="5"/>
    </row>
    <row r="57" spans="1:16" x14ac:dyDescent="0.2">
      <c r="A57" s="5" t="str">
        <f>'1-1.DOP'!$A$40</f>
        <v xml:space="preserve">Tāme sastādīta: </v>
      </c>
      <c r="B57" s="4"/>
      <c r="C57" s="5"/>
      <c r="D57" s="5"/>
      <c r="E57" s="5"/>
      <c r="F57" s="5"/>
      <c r="G57" s="5"/>
      <c r="H57" s="5"/>
      <c r="I57" s="5"/>
      <c r="J57" s="5"/>
      <c r="K57" s="5"/>
      <c r="L57" s="5"/>
      <c r="M57" s="5"/>
      <c r="N57" s="5"/>
      <c r="O57" s="5"/>
      <c r="P57" s="5"/>
    </row>
    <row r="58" spans="1:16" x14ac:dyDescent="0.2">
      <c r="A58" s="4"/>
      <c r="B58" s="4"/>
      <c r="C58" s="5"/>
      <c r="D58" s="5"/>
      <c r="E58" s="5"/>
      <c r="F58" s="5"/>
      <c r="G58" s="5"/>
      <c r="H58" s="5"/>
      <c r="I58" s="5"/>
      <c r="J58" s="5"/>
      <c r="K58" s="5"/>
      <c r="L58" s="5"/>
      <c r="M58" s="5"/>
      <c r="N58" s="5"/>
      <c r="O58" s="5"/>
      <c r="P58" s="5"/>
    </row>
    <row r="59" spans="1:16" x14ac:dyDescent="0.2">
      <c r="A59" s="19" t="s">
        <v>87</v>
      </c>
      <c r="B59" s="19"/>
      <c r="C59" s="19"/>
      <c r="D59" s="19"/>
      <c r="E59" s="19"/>
      <c r="F59" s="19"/>
      <c r="G59" s="68"/>
      <c r="H59" s="68"/>
      <c r="I59" s="68"/>
      <c r="J59" s="26"/>
      <c r="K59" s="5"/>
      <c r="L59" s="5"/>
      <c r="M59" s="5"/>
      <c r="N59" s="5"/>
      <c r="O59" s="5"/>
      <c r="P59" s="5"/>
    </row>
    <row r="60" spans="1:16" ht="11.65" customHeight="1" x14ac:dyDescent="0.2">
      <c r="A60" s="202" t="s">
        <v>10</v>
      </c>
      <c r="B60" s="202"/>
      <c r="C60" s="202"/>
      <c r="D60" s="202"/>
      <c r="E60" s="202"/>
      <c r="F60" s="202"/>
      <c r="G60" s="5"/>
      <c r="H60" s="5"/>
      <c r="I60" s="5"/>
      <c r="J60" s="5"/>
      <c r="K60" s="5"/>
      <c r="L60" s="5"/>
      <c r="M60" s="5"/>
      <c r="N60" s="5"/>
      <c r="O60" s="5"/>
      <c r="P60" s="5"/>
    </row>
    <row r="61" spans="1:16" x14ac:dyDescent="0.2">
      <c r="A61" s="4"/>
      <c r="B61" s="4"/>
      <c r="C61" s="5"/>
      <c r="D61" s="5"/>
      <c r="E61" s="5"/>
      <c r="F61" s="5"/>
      <c r="G61" s="5"/>
      <c r="H61" s="5"/>
      <c r="I61" s="5"/>
      <c r="J61" s="5"/>
      <c r="K61" s="5"/>
      <c r="L61" s="5"/>
      <c r="M61" s="5"/>
      <c r="N61" s="5"/>
      <c r="O61" s="5"/>
      <c r="P61" s="5"/>
    </row>
    <row r="62" spans="1:16" x14ac:dyDescent="0.2">
      <c r="A62" s="20" t="s">
        <v>11</v>
      </c>
      <c r="B62" s="20"/>
      <c r="C62" s="4"/>
      <c r="D62" s="5"/>
      <c r="E62" s="5"/>
      <c r="F62" s="5"/>
      <c r="G62" s="5"/>
      <c r="H62" s="5"/>
      <c r="I62" s="5"/>
      <c r="J62" s="5"/>
      <c r="K62" s="5"/>
      <c r="L62" s="5"/>
      <c r="M62" s="5"/>
      <c r="N62" s="5"/>
      <c r="O62" s="5"/>
      <c r="P62" s="5"/>
    </row>
    <row r="63" spans="1:16" x14ac:dyDescent="0.2">
      <c r="A63" s="5"/>
      <c r="B63" s="5"/>
      <c r="C63" s="5"/>
      <c r="D63" s="5"/>
      <c r="E63" s="5"/>
      <c r="F63" s="5"/>
      <c r="G63" s="5"/>
      <c r="H63" s="5"/>
      <c r="I63" s="5"/>
      <c r="J63" s="5"/>
      <c r="K63" s="5"/>
      <c r="L63" s="5"/>
      <c r="M63" s="5"/>
      <c r="N63" s="5"/>
      <c r="O63" s="5"/>
      <c r="P63" s="5"/>
    </row>
    <row r="64" spans="1:16" x14ac:dyDescent="0.2">
      <c r="A64" s="5"/>
      <c r="B64" s="5"/>
      <c r="C64" s="5"/>
      <c r="D64" s="5"/>
      <c r="E64" s="5"/>
      <c r="F64" s="5"/>
      <c r="G64" s="5"/>
      <c r="H64" s="5"/>
      <c r="I64" s="5"/>
      <c r="J64" s="5"/>
      <c r="K64" s="5"/>
      <c r="L64" s="5"/>
      <c r="M64" s="5"/>
      <c r="N64" s="5"/>
      <c r="O64" s="5"/>
      <c r="P64" s="5"/>
    </row>
    <row r="65" spans="1:16" x14ac:dyDescent="0.2">
      <c r="A65" s="213" t="s">
        <v>12</v>
      </c>
      <c r="B65" s="213"/>
      <c r="C65" s="213"/>
      <c r="D65" s="213"/>
      <c r="E65" s="213"/>
      <c r="F65" s="213"/>
      <c r="G65" s="213"/>
      <c r="H65" s="213"/>
      <c r="I65" s="213"/>
      <c r="J65" s="213"/>
      <c r="K65" s="213"/>
      <c r="L65" s="213"/>
      <c r="M65" s="213"/>
      <c r="N65" s="213"/>
      <c r="O65" s="213"/>
      <c r="P65" s="213"/>
    </row>
  </sheetData>
  <sheetProtection selectLockedCells="1" selectUnlockedCells="1"/>
  <mergeCells count="17">
    <mergeCell ref="A7:F7"/>
    <mergeCell ref="A1:P1"/>
    <mergeCell ref="A2:P2"/>
    <mergeCell ref="A3:P3"/>
    <mergeCell ref="A5:F5"/>
    <mergeCell ref="A6:F6"/>
    <mergeCell ref="L11:P11"/>
    <mergeCell ref="B51:K51"/>
    <mergeCell ref="A55:F55"/>
    <mergeCell ref="A60:F60"/>
    <mergeCell ref="A65:P65"/>
    <mergeCell ref="A11:A12"/>
    <mergeCell ref="B11:B12"/>
    <mergeCell ref="C11:C12"/>
    <mergeCell ref="D11:D12"/>
    <mergeCell ref="E11:E12"/>
    <mergeCell ref="F11:K11"/>
  </mergeCells>
  <printOptions horizontalCentered="1"/>
  <pageMargins left="0.78749999999999998" right="0.39374999999999999" top="1.1812499999999999" bottom="0.39374999999999999" header="0.51180555555555551" footer="0.51180555555555551"/>
  <pageSetup paperSize="9" scale="74" firstPageNumber="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31F5-EF76-418F-AC73-419DAB232005}">
  <dimension ref="A1:P82"/>
  <sheetViews>
    <sheetView showZeros="0" topLeftCell="A42" workbookViewId="0">
      <selection activeCell="F15" sqref="F15"/>
    </sheetView>
  </sheetViews>
  <sheetFormatPr defaultColWidth="8.85546875" defaultRowHeight="12" x14ac:dyDescent="0.2"/>
  <cols>
    <col min="1" max="1" width="5.85546875" style="95" customWidth="1"/>
    <col min="2" max="2" width="5.85546875" style="96" customWidth="1"/>
    <col min="3" max="3" width="41" style="96" customWidth="1"/>
    <col min="4" max="5" width="8.85546875" style="96"/>
    <col min="6" max="11" width="8.85546875" style="95"/>
    <col min="12" max="16" width="11.85546875" style="95" customWidth="1"/>
    <col min="17" max="16384" width="8.85546875" style="95"/>
  </cols>
  <sheetData>
    <row r="1" spans="1:16" x14ac:dyDescent="0.2">
      <c r="A1" s="227" t="s">
        <v>260</v>
      </c>
      <c r="B1" s="227"/>
      <c r="C1" s="227"/>
      <c r="D1" s="227"/>
      <c r="E1" s="227"/>
      <c r="F1" s="227"/>
      <c r="G1" s="227"/>
      <c r="H1" s="227"/>
      <c r="I1" s="227"/>
      <c r="J1" s="227"/>
      <c r="K1" s="227"/>
      <c r="L1" s="227"/>
      <c r="M1" s="227"/>
      <c r="N1" s="227"/>
      <c r="O1" s="227"/>
      <c r="P1" s="227"/>
    </row>
    <row r="2" spans="1:16" x14ac:dyDescent="0.2">
      <c r="A2" s="227" t="s">
        <v>34</v>
      </c>
      <c r="B2" s="227"/>
      <c r="C2" s="227"/>
      <c r="D2" s="227"/>
      <c r="E2" s="227"/>
      <c r="F2" s="227"/>
      <c r="G2" s="227"/>
      <c r="H2" s="227"/>
      <c r="I2" s="227"/>
      <c r="J2" s="227"/>
      <c r="K2" s="227"/>
      <c r="L2" s="227"/>
      <c r="M2" s="227"/>
      <c r="N2" s="227"/>
      <c r="O2" s="227"/>
      <c r="P2" s="227"/>
    </row>
    <row r="3" spans="1:16" x14ac:dyDescent="0.2">
      <c r="A3" s="219" t="s">
        <v>46</v>
      </c>
      <c r="B3" s="219"/>
      <c r="C3" s="219"/>
      <c r="D3" s="219"/>
      <c r="E3" s="219"/>
      <c r="F3" s="219"/>
      <c r="G3" s="219"/>
      <c r="H3" s="219"/>
      <c r="I3" s="219"/>
      <c r="J3" s="219"/>
      <c r="K3" s="219"/>
      <c r="L3" s="219"/>
      <c r="M3" s="219"/>
      <c r="N3" s="219"/>
      <c r="O3" s="219"/>
      <c r="P3" s="219"/>
    </row>
    <row r="4" spans="1:16" x14ac:dyDescent="0.2">
      <c r="A4" s="97"/>
      <c r="B4" s="98"/>
      <c r="C4" s="98"/>
      <c r="D4" s="99"/>
      <c r="E4" s="99"/>
      <c r="F4" s="100"/>
      <c r="G4" s="100"/>
      <c r="H4" s="101"/>
      <c r="I4" s="100"/>
      <c r="J4" s="100"/>
      <c r="K4" s="100"/>
      <c r="L4" s="100"/>
      <c r="M4" s="100"/>
      <c r="N4" s="100"/>
      <c r="O4" s="100"/>
    </row>
    <row r="5" spans="1:16" ht="24" customHeight="1" x14ac:dyDescent="0.2">
      <c r="A5" s="226" t="str">
        <f>Koptāme!$A$11</f>
        <v>Objekta nosaukums: Slaucamo govju kūts jaunbūve īpašumā
"Vecsašava"</v>
      </c>
      <c r="B5" s="226"/>
      <c r="C5" s="226"/>
      <c r="D5" s="226"/>
      <c r="E5" s="226"/>
      <c r="F5" s="102"/>
      <c r="G5" s="102"/>
      <c r="H5" s="102"/>
      <c r="I5" s="102"/>
      <c r="J5" s="102"/>
      <c r="K5" s="102"/>
      <c r="L5" s="102"/>
      <c r="M5" s="102"/>
      <c r="N5" s="102"/>
      <c r="O5" s="102"/>
    </row>
    <row r="6" spans="1:16" ht="24" customHeight="1" x14ac:dyDescent="0.2">
      <c r="A6" s="226" t="str">
        <f>Koptāme!$A$12</f>
        <v>Objekta adrese: Īpašums "Vecsašava", Mālupes pagasts,
Alūksnes novads</v>
      </c>
      <c r="B6" s="226"/>
      <c r="C6" s="226"/>
      <c r="D6" s="226"/>
      <c r="E6" s="226"/>
      <c r="F6" s="103"/>
      <c r="G6" s="100"/>
      <c r="H6" s="101"/>
      <c r="I6" s="100"/>
      <c r="J6" s="100"/>
      <c r="K6" s="100"/>
      <c r="L6" s="100"/>
      <c r="M6" s="100"/>
      <c r="N6" s="100"/>
      <c r="O6" s="100"/>
    </row>
    <row r="7" spans="1:16" ht="14.25" customHeight="1" x14ac:dyDescent="0.2">
      <c r="A7" s="226" t="str">
        <f>Koptāme!$A$13</f>
        <v>Pasūtītājs: Z/S "Jaunceriņi"</v>
      </c>
      <c r="B7" s="226"/>
      <c r="C7" s="226"/>
      <c r="D7" s="226"/>
      <c r="E7" s="226"/>
      <c r="F7" s="100"/>
      <c r="G7" s="100"/>
      <c r="H7" s="101"/>
      <c r="I7" s="100"/>
      <c r="J7" s="100"/>
      <c r="K7" s="100"/>
      <c r="L7" s="100"/>
      <c r="M7" s="100"/>
      <c r="N7" s="100"/>
      <c r="O7" s="100"/>
    </row>
    <row r="8" spans="1:16" x14ac:dyDescent="0.2">
      <c r="A8" s="99"/>
      <c r="B8" s="104"/>
      <c r="C8" s="99"/>
      <c r="D8" s="105"/>
      <c r="E8" s="105"/>
      <c r="F8" s="105"/>
      <c r="G8" s="105"/>
      <c r="H8" s="105"/>
      <c r="I8" s="105"/>
      <c r="J8" s="105"/>
      <c r="K8" s="105"/>
      <c r="L8" s="105"/>
      <c r="M8" s="105"/>
      <c r="N8" s="105"/>
      <c r="O8" s="106" t="s">
        <v>47</v>
      </c>
      <c r="P8" s="107">
        <f>P68</f>
        <v>0</v>
      </c>
    </row>
    <row r="9" spans="1:16" x14ac:dyDescent="0.2">
      <c r="A9" s="99"/>
      <c r="B9" s="104"/>
      <c r="C9" s="99"/>
      <c r="D9" s="105"/>
      <c r="E9" s="105"/>
      <c r="F9" s="105"/>
      <c r="G9" s="105"/>
      <c r="H9" s="105"/>
      <c r="I9" s="105"/>
      <c r="J9" s="105"/>
      <c r="K9" s="105"/>
      <c r="L9" s="105"/>
      <c r="M9" s="105"/>
      <c r="N9" s="108" t="str">
        <f>'1-1.DOP'!$N$9</f>
        <v xml:space="preserve">Tāme sastādīta: </v>
      </c>
      <c r="O9" s="109"/>
      <c r="P9" s="105"/>
    </row>
    <row r="11" spans="1:16" ht="12.75" customHeight="1" x14ac:dyDescent="0.2">
      <c r="A11" s="220" t="s">
        <v>48</v>
      </c>
      <c r="B11" s="221" t="s">
        <v>49</v>
      </c>
      <c r="C11" s="220" t="s">
        <v>50</v>
      </c>
      <c r="D11" s="220" t="s">
        <v>51</v>
      </c>
      <c r="E11" s="220" t="s">
        <v>52</v>
      </c>
      <c r="F11" s="222" t="s">
        <v>53</v>
      </c>
      <c r="G11" s="222"/>
      <c r="H11" s="222"/>
      <c r="I11" s="222"/>
      <c r="J11" s="222"/>
      <c r="K11" s="222"/>
      <c r="L11" s="222" t="s">
        <v>54</v>
      </c>
      <c r="M11" s="222"/>
      <c r="N11" s="222"/>
      <c r="O11" s="222"/>
      <c r="P11" s="222"/>
    </row>
    <row r="12" spans="1:16" ht="192" x14ac:dyDescent="0.2">
      <c r="A12" s="220"/>
      <c r="B12" s="221"/>
      <c r="C12" s="220"/>
      <c r="D12" s="220"/>
      <c r="E12" s="220"/>
      <c r="F12" s="197" t="s">
        <v>55</v>
      </c>
      <c r="G12" s="197" t="s">
        <v>261</v>
      </c>
      <c r="H12" s="197" t="s">
        <v>57</v>
      </c>
      <c r="I12" s="197" t="s">
        <v>23</v>
      </c>
      <c r="J12" s="197" t="s">
        <v>58</v>
      </c>
      <c r="K12" s="197" t="s">
        <v>59</v>
      </c>
      <c r="L12" s="197" t="s">
        <v>60</v>
      </c>
      <c r="M12" s="197" t="s">
        <v>57</v>
      </c>
      <c r="N12" s="197" t="s">
        <v>23</v>
      </c>
      <c r="O12" s="197" t="s">
        <v>58</v>
      </c>
      <c r="P12" s="197" t="s">
        <v>61</v>
      </c>
    </row>
    <row r="13" spans="1:16" x14ac:dyDescent="0.2">
      <c r="A13" s="197">
        <v>1</v>
      </c>
      <c r="B13" s="197">
        <v>2</v>
      </c>
      <c r="C13" s="197">
        <f>B13+1</f>
        <v>3</v>
      </c>
      <c r="D13" s="197">
        <f>C13+1</f>
        <v>4</v>
      </c>
      <c r="E13" s="197">
        <f t="shared" ref="E13:P13" si="0">D13+1</f>
        <v>5</v>
      </c>
      <c r="F13" s="197">
        <f>E13+1</f>
        <v>6</v>
      </c>
      <c r="G13" s="197">
        <f t="shared" si="0"/>
        <v>7</v>
      </c>
      <c r="H13" s="197">
        <f t="shared" si="0"/>
        <v>8</v>
      </c>
      <c r="I13" s="197">
        <f t="shared" si="0"/>
        <v>9</v>
      </c>
      <c r="J13" s="197">
        <f t="shared" si="0"/>
        <v>10</v>
      </c>
      <c r="K13" s="197">
        <f t="shared" si="0"/>
        <v>11</v>
      </c>
      <c r="L13" s="197">
        <f t="shared" si="0"/>
        <v>12</v>
      </c>
      <c r="M13" s="197">
        <f t="shared" si="0"/>
        <v>13</v>
      </c>
      <c r="N13" s="197">
        <f t="shared" si="0"/>
        <v>14</v>
      </c>
      <c r="O13" s="197">
        <f t="shared" si="0"/>
        <v>15</v>
      </c>
      <c r="P13" s="197">
        <f t="shared" si="0"/>
        <v>16</v>
      </c>
    </row>
    <row r="14" spans="1:16" x14ac:dyDescent="0.2">
      <c r="A14" s="110"/>
      <c r="B14" s="110"/>
      <c r="C14" s="111" t="s">
        <v>262</v>
      </c>
      <c r="D14" s="112"/>
      <c r="E14" s="113"/>
      <c r="F14" s="114"/>
      <c r="G14" s="114"/>
      <c r="H14" s="114"/>
      <c r="I14" s="114"/>
      <c r="J14" s="114"/>
      <c r="K14" s="114"/>
      <c r="L14" s="114"/>
      <c r="M14" s="114"/>
      <c r="N14" s="114"/>
      <c r="O14" s="114"/>
      <c r="P14" s="114"/>
    </row>
    <row r="15" spans="1:16" ht="16.5" x14ac:dyDescent="0.2">
      <c r="A15" s="115">
        <f>IF(D15="","",COUNTIF(B$13:$B15,"l.c"))</f>
        <v>1</v>
      </c>
      <c r="B15" s="115" t="str">
        <f t="shared" ref="B15:B16" si="1">IF(D15="","","l.c")</f>
        <v>l.c</v>
      </c>
      <c r="C15" s="116" t="s">
        <v>263</v>
      </c>
      <c r="D15" s="117" t="s">
        <v>109</v>
      </c>
      <c r="E15" s="117">
        <v>3</v>
      </c>
      <c r="F15" s="118"/>
      <c r="G15" s="119"/>
      <c r="H15" s="119"/>
      <c r="I15" s="119"/>
      <c r="J15" s="119"/>
      <c r="K15" s="119"/>
      <c r="L15" s="119"/>
      <c r="M15" s="119"/>
      <c r="N15" s="119"/>
      <c r="O15" s="119"/>
      <c r="P15" s="119"/>
    </row>
    <row r="16" spans="1:16" ht="16.5" x14ac:dyDescent="0.2">
      <c r="A16" s="115">
        <f>A15+1</f>
        <v>2</v>
      </c>
      <c r="B16" s="115" t="str">
        <f t="shared" si="1"/>
        <v>l.c</v>
      </c>
      <c r="C16" s="116" t="s">
        <v>264</v>
      </c>
      <c r="D16" s="117" t="s">
        <v>109</v>
      </c>
      <c r="E16" s="117">
        <v>2</v>
      </c>
      <c r="F16" s="118"/>
      <c r="G16" s="119"/>
      <c r="H16" s="119"/>
      <c r="I16" s="119"/>
      <c r="J16" s="119"/>
      <c r="K16" s="119"/>
      <c r="L16" s="119"/>
      <c r="M16" s="119"/>
      <c r="N16" s="119"/>
      <c r="O16" s="119"/>
      <c r="P16" s="119"/>
    </row>
    <row r="17" spans="1:16" ht="16.5" x14ac:dyDescent="0.2">
      <c r="A17" s="115">
        <f t="shared" ref="A17:A67" si="2">A16+1</f>
        <v>3</v>
      </c>
      <c r="B17" s="115" t="str">
        <f t="shared" ref="B17:B67" si="3">IF(D17="","","l.c")</f>
        <v>l.c</v>
      </c>
      <c r="C17" s="116" t="s">
        <v>265</v>
      </c>
      <c r="D17" s="117" t="s">
        <v>109</v>
      </c>
      <c r="E17" s="117">
        <v>1</v>
      </c>
      <c r="F17" s="118"/>
      <c r="G17" s="119"/>
      <c r="H17" s="119"/>
      <c r="I17" s="119"/>
      <c r="J17" s="119"/>
      <c r="K17" s="119"/>
      <c r="L17" s="119"/>
      <c r="M17" s="119"/>
      <c r="N17" s="119"/>
      <c r="O17" s="119"/>
      <c r="P17" s="119"/>
    </row>
    <row r="18" spans="1:16" ht="16.5" x14ac:dyDescent="0.2">
      <c r="A18" s="115">
        <f t="shared" si="2"/>
        <v>4</v>
      </c>
      <c r="B18" s="115" t="str">
        <f t="shared" si="3"/>
        <v>l.c</v>
      </c>
      <c r="C18" s="116" t="s">
        <v>266</v>
      </c>
      <c r="D18" s="117" t="s">
        <v>109</v>
      </c>
      <c r="E18" s="117">
        <v>3</v>
      </c>
      <c r="F18" s="118"/>
      <c r="G18" s="119"/>
      <c r="H18" s="119"/>
      <c r="I18" s="119"/>
      <c r="J18" s="119"/>
      <c r="K18" s="119"/>
      <c r="L18" s="119"/>
      <c r="M18" s="119"/>
      <c r="N18" s="119"/>
      <c r="O18" s="119"/>
      <c r="P18" s="119"/>
    </row>
    <row r="19" spans="1:16" ht="16.5" x14ac:dyDescent="0.2">
      <c r="A19" s="115">
        <f t="shared" si="2"/>
        <v>5</v>
      </c>
      <c r="B19" s="115" t="str">
        <f t="shared" si="3"/>
        <v>l.c</v>
      </c>
      <c r="C19" s="116" t="s">
        <v>267</v>
      </c>
      <c r="D19" s="117" t="s">
        <v>109</v>
      </c>
      <c r="E19" s="117">
        <v>1</v>
      </c>
      <c r="F19" s="118"/>
      <c r="G19" s="119"/>
      <c r="H19" s="119"/>
      <c r="I19" s="119"/>
      <c r="J19" s="119"/>
      <c r="K19" s="119"/>
      <c r="L19" s="119"/>
      <c r="M19" s="119"/>
      <c r="N19" s="119"/>
      <c r="O19" s="119"/>
      <c r="P19" s="119"/>
    </row>
    <row r="20" spans="1:16" ht="16.5" x14ac:dyDescent="0.2">
      <c r="A20" s="115">
        <f t="shared" si="2"/>
        <v>6</v>
      </c>
      <c r="B20" s="115" t="str">
        <f t="shared" si="3"/>
        <v>l.c</v>
      </c>
      <c r="C20" s="116" t="s">
        <v>268</v>
      </c>
      <c r="D20" s="117" t="s">
        <v>109</v>
      </c>
      <c r="E20" s="117">
        <v>3</v>
      </c>
      <c r="F20" s="118"/>
      <c r="G20" s="119"/>
      <c r="H20" s="119"/>
      <c r="I20" s="119"/>
      <c r="J20" s="119"/>
      <c r="K20" s="119"/>
      <c r="L20" s="119"/>
      <c r="M20" s="119"/>
      <c r="N20" s="119"/>
      <c r="O20" s="119"/>
      <c r="P20" s="119"/>
    </row>
    <row r="21" spans="1:16" ht="16.5" x14ac:dyDescent="0.2">
      <c r="A21" s="115">
        <f t="shared" si="2"/>
        <v>7</v>
      </c>
      <c r="B21" s="115" t="str">
        <f t="shared" si="3"/>
        <v>l.c</v>
      </c>
      <c r="C21" s="120" t="s">
        <v>269</v>
      </c>
      <c r="D21" s="117" t="s">
        <v>109</v>
      </c>
      <c r="E21" s="117">
        <v>2</v>
      </c>
      <c r="F21" s="118"/>
      <c r="G21" s="119"/>
      <c r="H21" s="119"/>
      <c r="I21" s="119"/>
      <c r="J21" s="119"/>
      <c r="K21" s="119"/>
      <c r="L21" s="119"/>
      <c r="M21" s="119"/>
      <c r="N21" s="119"/>
      <c r="O21" s="119"/>
      <c r="P21" s="119"/>
    </row>
    <row r="22" spans="1:16" ht="16.5" x14ac:dyDescent="0.2">
      <c r="A22" s="115">
        <f t="shared" si="2"/>
        <v>8</v>
      </c>
      <c r="B22" s="115" t="str">
        <f t="shared" si="3"/>
        <v>l.c</v>
      </c>
      <c r="C22" s="120" t="s">
        <v>270</v>
      </c>
      <c r="D22" s="117" t="s">
        <v>109</v>
      </c>
      <c r="E22" s="117">
        <v>13</v>
      </c>
      <c r="F22" s="118"/>
      <c r="G22" s="119"/>
      <c r="H22" s="119"/>
      <c r="I22" s="119"/>
      <c r="J22" s="119"/>
      <c r="K22" s="119"/>
      <c r="L22" s="119"/>
      <c r="M22" s="119"/>
      <c r="N22" s="119"/>
      <c r="O22" s="119"/>
      <c r="P22" s="119"/>
    </row>
    <row r="23" spans="1:16" ht="16.5" x14ac:dyDescent="0.2">
      <c r="A23" s="115">
        <f t="shared" si="2"/>
        <v>9</v>
      </c>
      <c r="B23" s="115" t="str">
        <f t="shared" si="3"/>
        <v>l.c</v>
      </c>
      <c r="C23" s="116" t="s">
        <v>271</v>
      </c>
      <c r="D23" s="117" t="s">
        <v>109</v>
      </c>
      <c r="E23" s="117">
        <v>4</v>
      </c>
      <c r="F23" s="118"/>
      <c r="G23" s="119"/>
      <c r="H23" s="119"/>
      <c r="I23" s="119"/>
      <c r="J23" s="119"/>
      <c r="K23" s="119"/>
      <c r="L23" s="119"/>
      <c r="M23" s="119"/>
      <c r="N23" s="119"/>
      <c r="O23" s="119"/>
      <c r="P23" s="119"/>
    </row>
    <row r="24" spans="1:16" ht="16.5" x14ac:dyDescent="0.2">
      <c r="A24" s="115">
        <f t="shared" si="2"/>
        <v>10</v>
      </c>
      <c r="B24" s="115" t="str">
        <f t="shared" si="3"/>
        <v>l.c</v>
      </c>
      <c r="C24" s="116" t="s">
        <v>272</v>
      </c>
      <c r="D24" s="117" t="s">
        <v>109</v>
      </c>
      <c r="E24" s="117">
        <v>1</v>
      </c>
      <c r="F24" s="118"/>
      <c r="G24" s="119"/>
      <c r="H24" s="119"/>
      <c r="I24" s="119"/>
      <c r="J24" s="119"/>
      <c r="K24" s="119"/>
      <c r="L24" s="119"/>
      <c r="M24" s="119"/>
      <c r="N24" s="119"/>
      <c r="O24" s="119"/>
      <c r="P24" s="119"/>
    </row>
    <row r="25" spans="1:16" ht="33" x14ac:dyDescent="0.2">
      <c r="A25" s="115">
        <f t="shared" si="2"/>
        <v>11</v>
      </c>
      <c r="B25" s="115" t="str">
        <f t="shared" si="3"/>
        <v>l.c</v>
      </c>
      <c r="C25" s="120" t="s">
        <v>273</v>
      </c>
      <c r="D25" s="117" t="s">
        <v>107</v>
      </c>
      <c r="E25" s="117">
        <v>1</v>
      </c>
      <c r="F25" s="118"/>
      <c r="G25" s="119"/>
      <c r="H25" s="119"/>
      <c r="I25" s="119"/>
      <c r="J25" s="119"/>
      <c r="K25" s="119"/>
      <c r="L25" s="119"/>
      <c r="M25" s="119"/>
      <c r="N25" s="119"/>
      <c r="O25" s="119"/>
      <c r="P25" s="119"/>
    </row>
    <row r="26" spans="1:16" ht="33" x14ac:dyDescent="0.2">
      <c r="A26" s="115">
        <f t="shared" si="2"/>
        <v>12</v>
      </c>
      <c r="B26" s="115" t="str">
        <f t="shared" si="3"/>
        <v>l.c</v>
      </c>
      <c r="C26" s="120" t="s">
        <v>274</v>
      </c>
      <c r="D26" s="117" t="s">
        <v>107</v>
      </c>
      <c r="E26" s="117">
        <v>1</v>
      </c>
      <c r="F26" s="118"/>
      <c r="G26" s="119"/>
      <c r="H26" s="119"/>
      <c r="I26" s="119"/>
      <c r="J26" s="119"/>
      <c r="K26" s="119"/>
      <c r="L26" s="119"/>
      <c r="M26" s="119"/>
      <c r="N26" s="119"/>
      <c r="O26" s="119"/>
      <c r="P26" s="119"/>
    </row>
    <row r="27" spans="1:16" ht="33" x14ac:dyDescent="0.2">
      <c r="A27" s="115">
        <f t="shared" si="2"/>
        <v>13</v>
      </c>
      <c r="B27" s="115" t="str">
        <f t="shared" si="3"/>
        <v>l.c</v>
      </c>
      <c r="C27" s="120" t="s">
        <v>275</v>
      </c>
      <c r="D27" s="117" t="s">
        <v>107</v>
      </c>
      <c r="E27" s="117">
        <v>1</v>
      </c>
      <c r="F27" s="118"/>
      <c r="G27" s="119"/>
      <c r="H27" s="119"/>
      <c r="I27" s="119"/>
      <c r="J27" s="119"/>
      <c r="K27" s="119"/>
      <c r="L27" s="119"/>
      <c r="M27" s="119"/>
      <c r="N27" s="119"/>
      <c r="O27" s="119"/>
      <c r="P27" s="119"/>
    </row>
    <row r="28" spans="1:16" ht="33" x14ac:dyDescent="0.2">
      <c r="A28" s="115">
        <f t="shared" si="2"/>
        <v>14</v>
      </c>
      <c r="B28" s="115" t="str">
        <f t="shared" si="3"/>
        <v>l.c</v>
      </c>
      <c r="C28" s="120" t="s">
        <v>276</v>
      </c>
      <c r="D28" s="117" t="s">
        <v>107</v>
      </c>
      <c r="E28" s="117">
        <v>1</v>
      </c>
      <c r="F28" s="118"/>
      <c r="G28" s="119"/>
      <c r="H28" s="119"/>
      <c r="I28" s="119"/>
      <c r="J28" s="119"/>
      <c r="K28" s="119"/>
      <c r="L28" s="119"/>
      <c r="M28" s="119"/>
      <c r="N28" s="119"/>
      <c r="O28" s="119"/>
      <c r="P28" s="119"/>
    </row>
    <row r="29" spans="1:16" ht="33" x14ac:dyDescent="0.2">
      <c r="A29" s="115">
        <f t="shared" si="2"/>
        <v>15</v>
      </c>
      <c r="B29" s="115" t="str">
        <f t="shared" si="3"/>
        <v>l.c</v>
      </c>
      <c r="C29" s="120" t="s">
        <v>277</v>
      </c>
      <c r="D29" s="117" t="s">
        <v>107</v>
      </c>
      <c r="E29" s="117">
        <v>1</v>
      </c>
      <c r="F29" s="118"/>
      <c r="G29" s="119"/>
      <c r="H29" s="119"/>
      <c r="I29" s="119"/>
      <c r="J29" s="119"/>
      <c r="K29" s="119"/>
      <c r="L29" s="119"/>
      <c r="M29" s="119"/>
      <c r="N29" s="119"/>
      <c r="O29" s="119"/>
      <c r="P29" s="119"/>
    </row>
    <row r="30" spans="1:16" ht="16.5" x14ac:dyDescent="0.2">
      <c r="A30" s="115">
        <f t="shared" si="2"/>
        <v>16</v>
      </c>
      <c r="B30" s="115" t="str">
        <f t="shared" si="3"/>
        <v>l.c</v>
      </c>
      <c r="C30" s="120" t="s">
        <v>278</v>
      </c>
      <c r="D30" s="117" t="s">
        <v>107</v>
      </c>
      <c r="E30" s="117">
        <v>1</v>
      </c>
      <c r="F30" s="118"/>
      <c r="G30" s="119"/>
      <c r="H30" s="119"/>
      <c r="I30" s="119"/>
      <c r="J30" s="119"/>
      <c r="K30" s="119"/>
      <c r="L30" s="119"/>
      <c r="M30" s="119"/>
      <c r="N30" s="119"/>
      <c r="O30" s="119"/>
      <c r="P30" s="119"/>
    </row>
    <row r="31" spans="1:16" ht="16.5" x14ac:dyDescent="0.2">
      <c r="A31" s="115">
        <f t="shared" si="2"/>
        <v>17</v>
      </c>
      <c r="B31" s="115" t="str">
        <f t="shared" si="3"/>
        <v>l.c</v>
      </c>
      <c r="C31" s="120" t="s">
        <v>279</v>
      </c>
      <c r="D31" s="117" t="s">
        <v>109</v>
      </c>
      <c r="E31" s="117">
        <v>1</v>
      </c>
      <c r="F31" s="118"/>
      <c r="G31" s="119"/>
      <c r="H31" s="119"/>
      <c r="I31" s="119"/>
      <c r="J31" s="119"/>
      <c r="K31" s="119"/>
      <c r="L31" s="119"/>
      <c r="M31" s="119"/>
      <c r="N31" s="119"/>
      <c r="O31" s="119"/>
      <c r="P31" s="119"/>
    </row>
    <row r="32" spans="1:16" ht="33" x14ac:dyDescent="0.2">
      <c r="A32" s="115">
        <f t="shared" si="2"/>
        <v>18</v>
      </c>
      <c r="B32" s="115" t="str">
        <f t="shared" si="3"/>
        <v>l.c</v>
      </c>
      <c r="C32" s="120" t="s">
        <v>280</v>
      </c>
      <c r="D32" s="117" t="s">
        <v>109</v>
      </c>
      <c r="E32" s="117">
        <v>4</v>
      </c>
      <c r="F32" s="118"/>
      <c r="G32" s="119"/>
      <c r="H32" s="119"/>
      <c r="I32" s="119"/>
      <c r="J32" s="119"/>
      <c r="K32" s="119"/>
      <c r="L32" s="119"/>
      <c r="M32" s="119"/>
      <c r="N32" s="119"/>
      <c r="O32" s="119"/>
      <c r="P32" s="119"/>
    </row>
    <row r="33" spans="1:16" ht="33" x14ac:dyDescent="0.2">
      <c r="A33" s="115">
        <f t="shared" si="2"/>
        <v>19</v>
      </c>
      <c r="B33" s="115" t="str">
        <f t="shared" si="3"/>
        <v>l.c</v>
      </c>
      <c r="C33" s="120" t="s">
        <v>281</v>
      </c>
      <c r="D33" s="117" t="s">
        <v>109</v>
      </c>
      <c r="E33" s="117">
        <v>1</v>
      </c>
      <c r="F33" s="118"/>
      <c r="G33" s="119"/>
      <c r="H33" s="119"/>
      <c r="I33" s="119"/>
      <c r="J33" s="119"/>
      <c r="K33" s="119"/>
      <c r="L33" s="119"/>
      <c r="M33" s="119"/>
      <c r="N33" s="119"/>
      <c r="O33" s="119"/>
      <c r="P33" s="119"/>
    </row>
    <row r="34" spans="1:16" ht="16.5" x14ac:dyDescent="0.2">
      <c r="A34" s="115">
        <f t="shared" si="2"/>
        <v>20</v>
      </c>
      <c r="B34" s="115" t="str">
        <f t="shared" si="3"/>
        <v>l.c</v>
      </c>
      <c r="C34" s="120" t="s">
        <v>282</v>
      </c>
      <c r="D34" s="117" t="s">
        <v>109</v>
      </c>
      <c r="E34" s="117">
        <v>2</v>
      </c>
      <c r="F34" s="118"/>
      <c r="G34" s="119"/>
      <c r="H34" s="119"/>
      <c r="I34" s="119"/>
      <c r="J34" s="119"/>
      <c r="K34" s="119"/>
      <c r="L34" s="119"/>
      <c r="M34" s="119"/>
      <c r="N34" s="119"/>
      <c r="O34" s="119"/>
      <c r="P34" s="119"/>
    </row>
    <row r="35" spans="1:16" ht="33" x14ac:dyDescent="0.2">
      <c r="A35" s="115">
        <f t="shared" si="2"/>
        <v>21</v>
      </c>
      <c r="B35" s="115" t="str">
        <f t="shared" si="3"/>
        <v>l.c</v>
      </c>
      <c r="C35" s="120" t="s">
        <v>283</v>
      </c>
      <c r="D35" s="117" t="s">
        <v>109</v>
      </c>
      <c r="E35" s="117">
        <v>4</v>
      </c>
      <c r="F35" s="118"/>
      <c r="G35" s="119"/>
      <c r="H35" s="119"/>
      <c r="I35" s="119"/>
      <c r="J35" s="119"/>
      <c r="K35" s="119"/>
      <c r="L35" s="119"/>
      <c r="M35" s="119"/>
      <c r="N35" s="119"/>
      <c r="O35" s="119"/>
      <c r="P35" s="119"/>
    </row>
    <row r="36" spans="1:16" ht="33" x14ac:dyDescent="0.2">
      <c r="A36" s="115">
        <f t="shared" si="2"/>
        <v>22</v>
      </c>
      <c r="B36" s="115" t="str">
        <f t="shared" si="3"/>
        <v>l.c</v>
      </c>
      <c r="C36" s="120" t="s">
        <v>283</v>
      </c>
      <c r="D36" s="117" t="s">
        <v>109</v>
      </c>
      <c r="E36" s="117">
        <v>12</v>
      </c>
      <c r="F36" s="118"/>
      <c r="G36" s="119"/>
      <c r="H36" s="119"/>
      <c r="I36" s="119"/>
      <c r="J36" s="119"/>
      <c r="K36" s="119"/>
      <c r="L36" s="119"/>
      <c r="M36" s="119"/>
      <c r="N36" s="119"/>
      <c r="O36" s="119"/>
      <c r="P36" s="119"/>
    </row>
    <row r="37" spans="1:16" ht="33" x14ac:dyDescent="0.2">
      <c r="A37" s="115">
        <f t="shared" si="2"/>
        <v>23</v>
      </c>
      <c r="B37" s="115" t="str">
        <f t="shared" si="3"/>
        <v>l.c</v>
      </c>
      <c r="C37" s="120" t="s">
        <v>284</v>
      </c>
      <c r="D37" s="117" t="s">
        <v>109</v>
      </c>
      <c r="E37" s="117">
        <v>10</v>
      </c>
      <c r="F37" s="118"/>
      <c r="G37" s="119"/>
      <c r="H37" s="119"/>
      <c r="I37" s="119"/>
      <c r="J37" s="119"/>
      <c r="K37" s="119"/>
      <c r="L37" s="119"/>
      <c r="M37" s="119"/>
      <c r="N37" s="119"/>
      <c r="O37" s="119"/>
      <c r="P37" s="119"/>
    </row>
    <row r="38" spans="1:16" ht="33" x14ac:dyDescent="0.2">
      <c r="A38" s="115">
        <f t="shared" si="2"/>
        <v>24</v>
      </c>
      <c r="B38" s="115" t="str">
        <f t="shared" si="3"/>
        <v>l.c</v>
      </c>
      <c r="C38" s="120" t="s">
        <v>285</v>
      </c>
      <c r="D38" s="117" t="s">
        <v>109</v>
      </c>
      <c r="E38" s="117">
        <v>2</v>
      </c>
      <c r="F38" s="118"/>
      <c r="G38" s="119"/>
      <c r="H38" s="119"/>
      <c r="I38" s="119"/>
      <c r="J38" s="119"/>
      <c r="K38" s="119"/>
      <c r="L38" s="119"/>
      <c r="M38" s="119"/>
      <c r="N38" s="119"/>
      <c r="O38" s="119"/>
      <c r="P38" s="119"/>
    </row>
    <row r="39" spans="1:16" ht="16.5" x14ac:dyDescent="0.2">
      <c r="A39" s="115">
        <f t="shared" si="2"/>
        <v>25</v>
      </c>
      <c r="B39" s="115" t="str">
        <f t="shared" si="3"/>
        <v>l.c</v>
      </c>
      <c r="C39" s="120" t="s">
        <v>286</v>
      </c>
      <c r="D39" s="117" t="s">
        <v>109</v>
      </c>
      <c r="E39" s="117">
        <v>2</v>
      </c>
      <c r="F39" s="118"/>
      <c r="G39" s="119"/>
      <c r="H39" s="119"/>
      <c r="I39" s="119"/>
      <c r="J39" s="119"/>
      <c r="K39" s="119"/>
      <c r="L39" s="119"/>
      <c r="M39" s="119"/>
      <c r="N39" s="119"/>
      <c r="O39" s="119"/>
      <c r="P39" s="119"/>
    </row>
    <row r="40" spans="1:16" ht="16.5" x14ac:dyDescent="0.2">
      <c r="A40" s="115">
        <f t="shared" si="2"/>
        <v>26</v>
      </c>
      <c r="B40" s="115" t="str">
        <f t="shared" si="3"/>
        <v>l.c</v>
      </c>
      <c r="C40" s="120" t="s">
        <v>287</v>
      </c>
      <c r="D40" s="117" t="s">
        <v>109</v>
      </c>
      <c r="E40" s="117">
        <v>4</v>
      </c>
      <c r="F40" s="118"/>
      <c r="G40" s="119"/>
      <c r="H40" s="119"/>
      <c r="I40" s="119"/>
      <c r="J40" s="119"/>
      <c r="K40" s="119"/>
      <c r="L40" s="119"/>
      <c r="M40" s="119"/>
      <c r="N40" s="119"/>
      <c r="O40" s="119"/>
      <c r="P40" s="119"/>
    </row>
    <row r="41" spans="1:16" ht="16.5" x14ac:dyDescent="0.2">
      <c r="A41" s="115">
        <f t="shared" si="2"/>
        <v>27</v>
      </c>
      <c r="B41" s="115" t="str">
        <f t="shared" si="3"/>
        <v>l.c</v>
      </c>
      <c r="C41" s="120" t="s">
        <v>288</v>
      </c>
      <c r="D41" s="117" t="s">
        <v>65</v>
      </c>
      <c r="E41" s="117">
        <v>10</v>
      </c>
      <c r="F41" s="118"/>
      <c r="G41" s="119"/>
      <c r="H41" s="119"/>
      <c r="I41" s="119"/>
      <c r="J41" s="119"/>
      <c r="K41" s="119"/>
      <c r="L41" s="119"/>
      <c r="M41" s="119"/>
      <c r="N41" s="119"/>
      <c r="O41" s="119"/>
      <c r="P41" s="119"/>
    </row>
    <row r="42" spans="1:16" ht="16.5" x14ac:dyDescent="0.2">
      <c r="A42" s="115">
        <f t="shared" si="2"/>
        <v>28</v>
      </c>
      <c r="B42" s="115" t="str">
        <f t="shared" si="3"/>
        <v>l.c</v>
      </c>
      <c r="C42" s="120" t="s">
        <v>289</v>
      </c>
      <c r="D42" s="117" t="s">
        <v>65</v>
      </c>
      <c r="E42" s="117">
        <v>51</v>
      </c>
      <c r="F42" s="118"/>
      <c r="G42" s="119"/>
      <c r="H42" s="119"/>
      <c r="I42" s="119"/>
      <c r="J42" s="119"/>
      <c r="K42" s="119"/>
      <c r="L42" s="119"/>
      <c r="M42" s="119"/>
      <c r="N42" s="119"/>
      <c r="O42" s="119"/>
      <c r="P42" s="119"/>
    </row>
    <row r="43" spans="1:16" ht="16.5" x14ac:dyDescent="0.2">
      <c r="A43" s="115">
        <f t="shared" si="2"/>
        <v>29</v>
      </c>
      <c r="B43" s="115" t="str">
        <f t="shared" si="3"/>
        <v>l.c</v>
      </c>
      <c r="C43" s="120" t="s">
        <v>290</v>
      </c>
      <c r="D43" s="117" t="s">
        <v>65</v>
      </c>
      <c r="E43" s="117">
        <v>184</v>
      </c>
      <c r="F43" s="118"/>
      <c r="G43" s="119"/>
      <c r="H43" s="119"/>
      <c r="I43" s="119"/>
      <c r="J43" s="119"/>
      <c r="K43" s="119"/>
      <c r="L43" s="119"/>
      <c r="M43" s="119"/>
      <c r="N43" s="119"/>
      <c r="O43" s="119"/>
      <c r="P43" s="119"/>
    </row>
    <row r="44" spans="1:16" ht="16.5" x14ac:dyDescent="0.2">
      <c r="A44" s="115">
        <f t="shared" si="2"/>
        <v>30</v>
      </c>
      <c r="B44" s="115" t="str">
        <f t="shared" si="3"/>
        <v>l.c</v>
      </c>
      <c r="C44" s="120" t="s">
        <v>291</v>
      </c>
      <c r="D44" s="117" t="s">
        <v>65</v>
      </c>
      <c r="E44" s="117">
        <v>10</v>
      </c>
      <c r="F44" s="118"/>
      <c r="G44" s="119"/>
      <c r="H44" s="119"/>
      <c r="I44" s="119"/>
      <c r="J44" s="119"/>
      <c r="K44" s="119"/>
      <c r="L44" s="119"/>
      <c r="M44" s="119"/>
      <c r="N44" s="119"/>
      <c r="O44" s="119"/>
      <c r="P44" s="119"/>
    </row>
    <row r="45" spans="1:16" ht="16.5" x14ac:dyDescent="0.2">
      <c r="A45" s="115">
        <f t="shared" si="2"/>
        <v>31</v>
      </c>
      <c r="B45" s="115" t="str">
        <f t="shared" si="3"/>
        <v>l.c</v>
      </c>
      <c r="C45" s="120" t="s">
        <v>292</v>
      </c>
      <c r="D45" s="117" t="s">
        <v>65</v>
      </c>
      <c r="E45" s="117">
        <v>144</v>
      </c>
      <c r="F45" s="118"/>
      <c r="G45" s="119"/>
      <c r="H45" s="119"/>
      <c r="I45" s="119"/>
      <c r="J45" s="119"/>
      <c r="K45" s="119"/>
      <c r="L45" s="119"/>
      <c r="M45" s="119"/>
      <c r="N45" s="119"/>
      <c r="O45" s="119"/>
      <c r="P45" s="119"/>
    </row>
    <row r="46" spans="1:16" ht="16.5" x14ac:dyDescent="0.2">
      <c r="A46" s="115">
        <f t="shared" si="2"/>
        <v>32</v>
      </c>
      <c r="B46" s="115" t="str">
        <f t="shared" si="3"/>
        <v>l.c</v>
      </c>
      <c r="C46" s="120" t="s">
        <v>293</v>
      </c>
      <c r="D46" s="117" t="s">
        <v>65</v>
      </c>
      <c r="E46" s="117">
        <v>195</v>
      </c>
      <c r="F46" s="118"/>
      <c r="G46" s="119"/>
      <c r="H46" s="119"/>
      <c r="I46" s="119"/>
      <c r="J46" s="119"/>
      <c r="K46" s="119"/>
      <c r="L46" s="119"/>
      <c r="M46" s="119"/>
      <c r="N46" s="119"/>
      <c r="O46" s="119"/>
      <c r="P46" s="119"/>
    </row>
    <row r="47" spans="1:16" ht="16.5" x14ac:dyDescent="0.2">
      <c r="A47" s="115">
        <f t="shared" si="2"/>
        <v>33</v>
      </c>
      <c r="B47" s="115" t="str">
        <f t="shared" si="3"/>
        <v>l.c</v>
      </c>
      <c r="C47" s="120" t="s">
        <v>294</v>
      </c>
      <c r="D47" s="117" t="s">
        <v>65</v>
      </c>
      <c r="E47" s="117">
        <v>825</v>
      </c>
      <c r="F47" s="118"/>
      <c r="G47" s="119"/>
      <c r="H47" s="119"/>
      <c r="I47" s="119"/>
      <c r="J47" s="119"/>
      <c r="K47" s="119"/>
      <c r="L47" s="119"/>
      <c r="M47" s="119"/>
      <c r="N47" s="119"/>
      <c r="O47" s="119"/>
      <c r="P47" s="119"/>
    </row>
    <row r="48" spans="1:16" ht="16.5" x14ac:dyDescent="0.2">
      <c r="A48" s="115">
        <f t="shared" si="2"/>
        <v>34</v>
      </c>
      <c r="B48" s="115" t="str">
        <f t="shared" si="3"/>
        <v>l.c</v>
      </c>
      <c r="C48" s="120" t="s">
        <v>295</v>
      </c>
      <c r="D48" s="117" t="s">
        <v>65</v>
      </c>
      <c r="E48" s="117">
        <v>81</v>
      </c>
      <c r="F48" s="118"/>
      <c r="G48" s="119"/>
      <c r="H48" s="119"/>
      <c r="I48" s="119"/>
      <c r="J48" s="119"/>
      <c r="K48" s="119"/>
      <c r="L48" s="119"/>
      <c r="M48" s="119"/>
      <c r="N48" s="119"/>
      <c r="O48" s="119"/>
      <c r="P48" s="119"/>
    </row>
    <row r="49" spans="1:16" ht="16.5" x14ac:dyDescent="0.3">
      <c r="A49" s="115">
        <f t="shared" si="2"/>
        <v>35</v>
      </c>
      <c r="B49" s="115" t="str">
        <f t="shared" si="3"/>
        <v>l.c</v>
      </c>
      <c r="C49" s="121" t="s">
        <v>296</v>
      </c>
      <c r="D49" s="117" t="s">
        <v>65</v>
      </c>
      <c r="E49" s="117">
        <v>175</v>
      </c>
      <c r="F49" s="118"/>
      <c r="G49" s="119"/>
      <c r="H49" s="119"/>
      <c r="I49" s="119"/>
      <c r="J49" s="119"/>
      <c r="K49" s="119"/>
      <c r="L49" s="119"/>
      <c r="M49" s="119"/>
      <c r="N49" s="119"/>
      <c r="O49" s="119"/>
      <c r="P49" s="119"/>
    </row>
    <row r="50" spans="1:16" ht="16.5" x14ac:dyDescent="0.3">
      <c r="A50" s="115">
        <f t="shared" si="2"/>
        <v>36</v>
      </c>
      <c r="B50" s="115" t="str">
        <f t="shared" si="3"/>
        <v>l.c</v>
      </c>
      <c r="C50" s="122" t="s">
        <v>297</v>
      </c>
      <c r="D50" s="117" t="s">
        <v>65</v>
      </c>
      <c r="E50" s="117">
        <v>30</v>
      </c>
      <c r="F50" s="118"/>
      <c r="G50" s="119"/>
      <c r="H50" s="119"/>
      <c r="I50" s="119"/>
      <c r="J50" s="119"/>
      <c r="K50" s="119"/>
      <c r="L50" s="119"/>
      <c r="M50" s="119"/>
      <c r="N50" s="119"/>
      <c r="O50" s="119"/>
      <c r="P50" s="119"/>
    </row>
    <row r="51" spans="1:16" ht="16.5" x14ac:dyDescent="0.3">
      <c r="A51" s="115">
        <f t="shared" si="2"/>
        <v>37</v>
      </c>
      <c r="B51" s="115" t="str">
        <f t="shared" si="3"/>
        <v>l.c</v>
      </c>
      <c r="C51" s="122" t="s">
        <v>298</v>
      </c>
      <c r="D51" s="117" t="s">
        <v>65</v>
      </c>
      <c r="E51" s="117">
        <v>100</v>
      </c>
      <c r="F51" s="118"/>
      <c r="G51" s="119"/>
      <c r="H51" s="119"/>
      <c r="I51" s="119"/>
      <c r="J51" s="119"/>
      <c r="K51" s="119"/>
      <c r="L51" s="119"/>
      <c r="M51" s="119"/>
      <c r="N51" s="119"/>
      <c r="O51" s="119"/>
      <c r="P51" s="119"/>
    </row>
    <row r="52" spans="1:16" ht="16.5" x14ac:dyDescent="0.2">
      <c r="A52" s="115">
        <f t="shared" si="2"/>
        <v>38</v>
      </c>
      <c r="B52" s="115" t="str">
        <f t="shared" si="3"/>
        <v>l.c</v>
      </c>
      <c r="C52" s="116" t="s">
        <v>299</v>
      </c>
      <c r="D52" s="117" t="s">
        <v>65</v>
      </c>
      <c r="E52" s="117">
        <v>100</v>
      </c>
      <c r="F52" s="118"/>
      <c r="G52" s="119"/>
      <c r="H52" s="119"/>
      <c r="I52" s="119"/>
      <c r="J52" s="119"/>
      <c r="K52" s="119"/>
      <c r="L52" s="119"/>
      <c r="M52" s="119"/>
      <c r="N52" s="119"/>
      <c r="O52" s="119"/>
      <c r="P52" s="119"/>
    </row>
    <row r="53" spans="1:16" ht="16.5" x14ac:dyDescent="0.2">
      <c r="A53" s="115">
        <f t="shared" si="2"/>
        <v>39</v>
      </c>
      <c r="B53" s="115" t="str">
        <f t="shared" si="3"/>
        <v>l.c</v>
      </c>
      <c r="C53" s="116" t="s">
        <v>300</v>
      </c>
      <c r="D53" s="117" t="s">
        <v>65</v>
      </c>
      <c r="E53" s="117">
        <v>200</v>
      </c>
      <c r="F53" s="118"/>
      <c r="G53" s="119"/>
      <c r="H53" s="119"/>
      <c r="I53" s="119"/>
      <c r="J53" s="119"/>
      <c r="K53" s="119"/>
      <c r="L53" s="119"/>
      <c r="M53" s="119"/>
      <c r="N53" s="119"/>
      <c r="O53" s="119"/>
      <c r="P53" s="119"/>
    </row>
    <row r="54" spans="1:16" ht="16.5" x14ac:dyDescent="0.2">
      <c r="A54" s="115">
        <f t="shared" si="2"/>
        <v>40</v>
      </c>
      <c r="B54" s="115" t="str">
        <f t="shared" si="3"/>
        <v>l.c</v>
      </c>
      <c r="C54" s="116" t="s">
        <v>301</v>
      </c>
      <c r="D54" s="117" t="s">
        <v>107</v>
      </c>
      <c r="E54" s="117">
        <v>10</v>
      </c>
      <c r="F54" s="118"/>
      <c r="G54" s="119"/>
      <c r="H54" s="119"/>
      <c r="I54" s="119"/>
      <c r="J54" s="119"/>
      <c r="K54" s="119"/>
      <c r="L54" s="119"/>
      <c r="M54" s="119"/>
      <c r="N54" s="119"/>
      <c r="O54" s="119"/>
      <c r="P54" s="119"/>
    </row>
    <row r="55" spans="1:16" ht="16.5" x14ac:dyDescent="0.2">
      <c r="A55" s="115">
        <f t="shared" si="2"/>
        <v>41</v>
      </c>
      <c r="B55" s="115" t="str">
        <f t="shared" si="3"/>
        <v>l.c</v>
      </c>
      <c r="C55" s="116" t="s">
        <v>302</v>
      </c>
      <c r="D55" s="117" t="s">
        <v>107</v>
      </c>
      <c r="E55" s="117">
        <v>4</v>
      </c>
      <c r="F55" s="118"/>
      <c r="G55" s="119"/>
      <c r="H55" s="119"/>
      <c r="I55" s="119"/>
      <c r="J55" s="119"/>
      <c r="K55" s="119"/>
      <c r="L55" s="119"/>
      <c r="M55" s="119"/>
      <c r="N55" s="119"/>
      <c r="O55" s="119"/>
      <c r="P55" s="119"/>
    </row>
    <row r="56" spans="1:16" ht="16.5" x14ac:dyDescent="0.2">
      <c r="A56" s="115">
        <f t="shared" si="2"/>
        <v>42</v>
      </c>
      <c r="B56" s="115" t="str">
        <f t="shared" si="3"/>
        <v>l.c</v>
      </c>
      <c r="C56" s="116" t="s">
        <v>303</v>
      </c>
      <c r="D56" s="117" t="s">
        <v>65</v>
      </c>
      <c r="E56" s="117">
        <v>260</v>
      </c>
      <c r="F56" s="118"/>
      <c r="G56" s="119"/>
      <c r="H56" s="119"/>
      <c r="I56" s="119"/>
      <c r="J56" s="119"/>
      <c r="K56" s="119"/>
      <c r="L56" s="119"/>
      <c r="M56" s="119"/>
      <c r="N56" s="119"/>
      <c r="O56" s="119"/>
      <c r="P56" s="119"/>
    </row>
    <row r="57" spans="1:16" ht="16.5" x14ac:dyDescent="0.2">
      <c r="A57" s="115">
        <f t="shared" si="2"/>
        <v>43</v>
      </c>
      <c r="B57" s="115" t="str">
        <f t="shared" si="3"/>
        <v>l.c</v>
      </c>
      <c r="C57" s="116" t="s">
        <v>304</v>
      </c>
      <c r="D57" s="117" t="s">
        <v>65</v>
      </c>
      <c r="E57" s="117">
        <v>20</v>
      </c>
      <c r="F57" s="118"/>
      <c r="G57" s="119"/>
      <c r="H57" s="119"/>
      <c r="I57" s="119"/>
      <c r="J57" s="119"/>
      <c r="K57" s="119"/>
      <c r="L57" s="119"/>
      <c r="M57" s="119"/>
      <c r="N57" s="119"/>
      <c r="O57" s="119"/>
      <c r="P57" s="119"/>
    </row>
    <row r="58" spans="1:16" ht="16.5" x14ac:dyDescent="0.2">
      <c r="A58" s="115">
        <f t="shared" si="2"/>
        <v>44</v>
      </c>
      <c r="B58" s="115" t="str">
        <f t="shared" si="3"/>
        <v>l.c</v>
      </c>
      <c r="C58" s="116" t="s">
        <v>305</v>
      </c>
      <c r="D58" s="117" t="s">
        <v>65</v>
      </c>
      <c r="E58" s="117">
        <v>20</v>
      </c>
      <c r="F58" s="118"/>
      <c r="G58" s="119"/>
      <c r="H58" s="119"/>
      <c r="I58" s="119"/>
      <c r="J58" s="119"/>
      <c r="K58" s="119"/>
      <c r="L58" s="119"/>
      <c r="M58" s="119"/>
      <c r="N58" s="119"/>
      <c r="O58" s="119"/>
      <c r="P58" s="119"/>
    </row>
    <row r="59" spans="1:16" ht="16.5" x14ac:dyDescent="0.2">
      <c r="A59" s="115">
        <f t="shared" si="2"/>
        <v>45</v>
      </c>
      <c r="B59" s="115" t="str">
        <f t="shared" si="3"/>
        <v>l.c</v>
      </c>
      <c r="C59" s="116" t="s">
        <v>306</v>
      </c>
      <c r="D59" s="117" t="s">
        <v>109</v>
      </c>
      <c r="E59" s="117">
        <v>70</v>
      </c>
      <c r="F59" s="118"/>
      <c r="G59" s="119"/>
      <c r="H59" s="119"/>
      <c r="I59" s="119"/>
      <c r="J59" s="119"/>
      <c r="K59" s="119"/>
      <c r="L59" s="119"/>
      <c r="M59" s="119"/>
      <c r="N59" s="119"/>
      <c r="O59" s="119"/>
      <c r="P59" s="119"/>
    </row>
    <row r="60" spans="1:16" ht="17.25" x14ac:dyDescent="0.2">
      <c r="A60" s="115">
        <f t="shared" si="2"/>
        <v>46</v>
      </c>
      <c r="B60" s="115" t="str">
        <f t="shared" si="3"/>
        <v>l.c</v>
      </c>
      <c r="C60" s="120" t="s">
        <v>307</v>
      </c>
      <c r="D60" s="117" t="s">
        <v>65</v>
      </c>
      <c r="E60" s="117">
        <v>100</v>
      </c>
      <c r="F60" s="118"/>
      <c r="G60" s="119"/>
      <c r="H60" s="119"/>
      <c r="I60" s="119"/>
      <c r="J60" s="119"/>
      <c r="K60" s="119"/>
      <c r="L60" s="119"/>
      <c r="M60" s="119"/>
      <c r="N60" s="119"/>
      <c r="O60" s="119"/>
      <c r="P60" s="119"/>
    </row>
    <row r="61" spans="1:16" ht="17.25" x14ac:dyDescent="0.2">
      <c r="A61" s="115">
        <f t="shared" si="2"/>
        <v>47</v>
      </c>
      <c r="B61" s="115" t="str">
        <f t="shared" si="3"/>
        <v>l.c</v>
      </c>
      <c r="C61" s="120" t="s">
        <v>308</v>
      </c>
      <c r="D61" s="117" t="s">
        <v>65</v>
      </c>
      <c r="E61" s="117">
        <v>150</v>
      </c>
      <c r="F61" s="118"/>
      <c r="G61" s="119"/>
      <c r="H61" s="119"/>
      <c r="I61" s="119"/>
      <c r="J61" s="119"/>
      <c r="K61" s="119"/>
      <c r="L61" s="119"/>
      <c r="M61" s="119"/>
      <c r="N61" s="119"/>
      <c r="O61" s="119"/>
      <c r="P61" s="119"/>
    </row>
    <row r="62" spans="1:16" ht="16.5" x14ac:dyDescent="0.2">
      <c r="A62" s="115">
        <f t="shared" si="2"/>
        <v>48</v>
      </c>
      <c r="B62" s="115" t="str">
        <f t="shared" si="3"/>
        <v>l.c</v>
      </c>
      <c r="C62" s="116" t="s">
        <v>309</v>
      </c>
      <c r="D62" s="117" t="s">
        <v>107</v>
      </c>
      <c r="E62" s="117">
        <v>1</v>
      </c>
      <c r="F62" s="118"/>
      <c r="G62" s="119"/>
      <c r="H62" s="119"/>
      <c r="I62" s="119"/>
      <c r="J62" s="119"/>
      <c r="K62" s="119"/>
      <c r="L62" s="119"/>
      <c r="M62" s="119"/>
      <c r="N62" s="119"/>
      <c r="O62" s="119"/>
      <c r="P62" s="119"/>
    </row>
    <row r="63" spans="1:16" ht="16.5" x14ac:dyDescent="0.2">
      <c r="A63" s="115"/>
      <c r="B63" s="115"/>
      <c r="C63" s="116"/>
      <c r="D63" s="117"/>
      <c r="E63" s="117"/>
      <c r="F63" s="118"/>
      <c r="G63" s="119"/>
      <c r="H63" s="119"/>
      <c r="I63" s="119"/>
      <c r="J63" s="119"/>
      <c r="K63" s="119"/>
      <c r="L63" s="119"/>
      <c r="M63" s="119"/>
      <c r="N63" s="119"/>
      <c r="O63" s="119"/>
      <c r="P63" s="119"/>
    </row>
    <row r="64" spans="1:16" ht="15.75" x14ac:dyDescent="0.25">
      <c r="A64" s="115"/>
      <c r="B64" s="115"/>
      <c r="C64" s="123" t="s">
        <v>310</v>
      </c>
      <c r="D64" s="124"/>
      <c r="E64" s="124"/>
      <c r="F64" s="118"/>
      <c r="G64" s="119"/>
      <c r="H64" s="119"/>
      <c r="I64" s="119"/>
      <c r="J64" s="119"/>
      <c r="K64" s="119"/>
      <c r="L64" s="119"/>
      <c r="M64" s="119"/>
      <c r="N64" s="119"/>
      <c r="O64" s="119"/>
      <c r="P64" s="119"/>
    </row>
    <row r="65" spans="1:16" ht="16.5" x14ac:dyDescent="0.2">
      <c r="A65" s="115">
        <f>A62+1</f>
        <v>49</v>
      </c>
      <c r="B65" s="115" t="str">
        <f t="shared" si="3"/>
        <v>l.c</v>
      </c>
      <c r="C65" s="116" t="s">
        <v>311</v>
      </c>
      <c r="D65" s="117" t="s">
        <v>107</v>
      </c>
      <c r="E65" s="117">
        <v>1</v>
      </c>
      <c r="F65" s="118"/>
      <c r="G65" s="119"/>
      <c r="H65" s="119"/>
      <c r="I65" s="119"/>
      <c r="J65" s="119"/>
      <c r="K65" s="119"/>
      <c r="L65" s="119"/>
      <c r="M65" s="119"/>
      <c r="N65" s="119"/>
      <c r="O65" s="119"/>
      <c r="P65" s="119"/>
    </row>
    <row r="66" spans="1:16" ht="16.5" x14ac:dyDescent="0.2">
      <c r="A66" s="115">
        <f t="shared" si="2"/>
        <v>50</v>
      </c>
      <c r="B66" s="115" t="str">
        <f t="shared" si="3"/>
        <v>l.c</v>
      </c>
      <c r="C66" s="116" t="s">
        <v>312</v>
      </c>
      <c r="D66" s="117" t="s">
        <v>107</v>
      </c>
      <c r="E66" s="117">
        <v>1</v>
      </c>
      <c r="F66" s="118"/>
      <c r="G66" s="119"/>
      <c r="H66" s="119"/>
      <c r="I66" s="119"/>
      <c r="J66" s="119"/>
      <c r="K66" s="119"/>
      <c r="L66" s="119"/>
      <c r="M66" s="119"/>
      <c r="N66" s="119"/>
      <c r="O66" s="119"/>
      <c r="P66" s="119"/>
    </row>
    <row r="67" spans="1:16" ht="16.5" x14ac:dyDescent="0.2">
      <c r="A67" s="115">
        <f t="shared" si="2"/>
        <v>51</v>
      </c>
      <c r="B67" s="115" t="str">
        <f t="shared" si="3"/>
        <v>l.c</v>
      </c>
      <c r="C67" s="116" t="s">
        <v>313</v>
      </c>
      <c r="D67" s="117" t="s">
        <v>314</v>
      </c>
      <c r="E67" s="117">
        <v>1</v>
      </c>
      <c r="F67" s="118"/>
      <c r="G67" s="119"/>
      <c r="H67" s="119"/>
      <c r="I67" s="119"/>
      <c r="J67" s="119"/>
      <c r="K67" s="119"/>
      <c r="L67" s="119"/>
      <c r="M67" s="119"/>
      <c r="N67" s="119"/>
      <c r="O67" s="119"/>
      <c r="P67" s="119"/>
    </row>
    <row r="68" spans="1:16" x14ac:dyDescent="0.2">
      <c r="A68" s="125"/>
      <c r="B68" s="223" t="s">
        <v>86</v>
      </c>
      <c r="C68" s="223"/>
      <c r="D68" s="223"/>
      <c r="E68" s="223"/>
      <c r="F68" s="223"/>
      <c r="G68" s="223"/>
      <c r="H68" s="223"/>
      <c r="I68" s="223"/>
      <c r="J68" s="223"/>
      <c r="K68" s="223"/>
      <c r="L68" s="126">
        <f>SUM(L15:L67)</f>
        <v>0</v>
      </c>
      <c r="M68" s="126">
        <f>SUM(M15:M67)</f>
        <v>0</v>
      </c>
      <c r="N68" s="126">
        <f>SUM(N15:N67)</f>
        <v>0</v>
      </c>
      <c r="O68" s="126">
        <f>SUM(O15:O67)</f>
        <v>0</v>
      </c>
      <c r="P68" s="126">
        <f>SUM(P15:P67)</f>
        <v>0</v>
      </c>
    </row>
    <row r="69" spans="1:16" x14ac:dyDescent="0.2">
      <c r="A69" s="103"/>
      <c r="B69" s="103"/>
      <c r="C69" s="127"/>
      <c r="D69" s="103"/>
      <c r="E69" s="103"/>
      <c r="F69" s="103"/>
      <c r="G69" s="103"/>
      <c r="H69" s="103"/>
      <c r="I69" s="103"/>
      <c r="J69" s="103"/>
      <c r="K69" s="103"/>
      <c r="L69" s="103"/>
      <c r="M69" s="103"/>
      <c r="N69" s="103"/>
      <c r="O69" s="103"/>
    </row>
    <row r="70" spans="1:16" x14ac:dyDescent="0.2">
      <c r="A70" s="103"/>
      <c r="B70" s="103"/>
      <c r="C70" s="127"/>
      <c r="D70" s="103"/>
      <c r="E70" s="103"/>
      <c r="F70" s="103"/>
      <c r="G70" s="103"/>
      <c r="H70" s="103"/>
      <c r="I70" s="103"/>
      <c r="J70" s="103"/>
      <c r="K70" s="103"/>
      <c r="L70" s="103"/>
      <c r="M70" s="103"/>
      <c r="N70" s="103"/>
      <c r="O70" s="103"/>
    </row>
    <row r="71" spans="1:16" x14ac:dyDescent="0.2">
      <c r="A71" s="128" t="s">
        <v>9</v>
      </c>
      <c r="B71" s="129"/>
      <c r="C71" s="129"/>
      <c r="D71" s="129"/>
      <c r="E71" s="129"/>
      <c r="F71" s="128"/>
      <c r="G71" s="129"/>
      <c r="H71" s="129"/>
      <c r="I71" s="129"/>
      <c r="J71" s="129"/>
      <c r="K71" s="129"/>
      <c r="L71" s="130"/>
      <c r="M71" s="130"/>
      <c r="N71" s="130"/>
      <c r="O71" s="131"/>
    </row>
    <row r="72" spans="1:16" ht="11.45" customHeight="1" x14ac:dyDescent="0.2">
      <c r="A72" s="128"/>
      <c r="B72" s="224" t="s">
        <v>10</v>
      </c>
      <c r="C72" s="224"/>
      <c r="D72" s="224"/>
      <c r="E72" s="224"/>
      <c r="F72" s="128"/>
      <c r="G72" s="225"/>
      <c r="H72" s="225"/>
      <c r="I72" s="225"/>
      <c r="J72" s="225"/>
      <c r="K72" s="225"/>
      <c r="L72" s="103"/>
      <c r="M72" s="103"/>
      <c r="N72" s="103"/>
      <c r="O72" s="103"/>
    </row>
    <row r="73" spans="1:16" x14ac:dyDescent="0.2">
      <c r="A73" s="128"/>
      <c r="B73" s="132"/>
      <c r="C73" s="132"/>
      <c r="D73" s="132"/>
      <c r="E73" s="132"/>
      <c r="F73" s="128"/>
      <c r="G73" s="132"/>
      <c r="H73" s="132"/>
      <c r="I73" s="132"/>
      <c r="J73" s="132"/>
      <c r="K73" s="132"/>
      <c r="L73" s="103"/>
      <c r="M73" s="103"/>
      <c r="N73" s="103"/>
      <c r="O73" s="103"/>
    </row>
    <row r="74" spans="1:16" x14ac:dyDescent="0.2">
      <c r="A74" s="103" t="str">
        <f>'1-1.DOP'!$A$40</f>
        <v xml:space="preserve">Tāme sastādīta: </v>
      </c>
      <c r="B74" s="133"/>
      <c r="C74" s="103"/>
      <c r="D74" s="103"/>
      <c r="E74" s="103"/>
      <c r="F74" s="103"/>
      <c r="G74" s="103"/>
      <c r="H74" s="103"/>
      <c r="I74" s="103"/>
      <c r="J74" s="103"/>
      <c r="K74" s="103"/>
      <c r="L74" s="103"/>
      <c r="M74" s="103"/>
      <c r="N74" s="103"/>
      <c r="O74" s="103"/>
    </row>
    <row r="75" spans="1:16" x14ac:dyDescent="0.2">
      <c r="A75" s="133"/>
      <c r="B75" s="133"/>
      <c r="C75" s="103"/>
      <c r="D75" s="103"/>
      <c r="E75" s="103"/>
      <c r="F75" s="103"/>
      <c r="G75" s="103"/>
      <c r="H75" s="103"/>
      <c r="I75" s="103"/>
      <c r="J75" s="103"/>
      <c r="K75" s="103"/>
      <c r="L75" s="103"/>
      <c r="M75" s="103"/>
      <c r="N75" s="103"/>
      <c r="O75" s="103"/>
    </row>
    <row r="76" spans="1:16" x14ac:dyDescent="0.2">
      <c r="A76" s="128" t="s">
        <v>87</v>
      </c>
      <c r="B76" s="129"/>
      <c r="C76" s="129"/>
      <c r="D76" s="129"/>
      <c r="E76" s="129"/>
      <c r="F76" s="130"/>
      <c r="G76" s="130"/>
      <c r="H76" s="130"/>
      <c r="I76" s="131"/>
      <c r="J76" s="103"/>
      <c r="K76" s="103"/>
      <c r="L76" s="103"/>
      <c r="M76" s="103"/>
      <c r="N76" s="103"/>
      <c r="O76" s="103"/>
    </row>
    <row r="77" spans="1:16" ht="11.45" customHeight="1" x14ac:dyDescent="0.2">
      <c r="A77" s="128"/>
      <c r="B77" s="225" t="s">
        <v>10</v>
      </c>
      <c r="C77" s="225"/>
      <c r="D77" s="225"/>
      <c r="E77" s="225"/>
      <c r="F77" s="103"/>
      <c r="G77" s="103"/>
      <c r="H77" s="103"/>
      <c r="I77" s="103"/>
      <c r="J77" s="103"/>
      <c r="K77" s="103"/>
      <c r="L77" s="103"/>
      <c r="M77" s="103"/>
      <c r="N77" s="103"/>
      <c r="O77" s="103"/>
    </row>
    <row r="78" spans="1:16" x14ac:dyDescent="0.2">
      <c r="A78" s="133"/>
      <c r="B78" s="133"/>
      <c r="C78" s="103"/>
      <c r="D78" s="103"/>
      <c r="E78" s="103"/>
      <c r="F78" s="103"/>
      <c r="G78" s="103"/>
      <c r="H78" s="103"/>
      <c r="I78" s="103"/>
      <c r="J78" s="103"/>
      <c r="K78" s="103"/>
      <c r="L78" s="103"/>
      <c r="M78" s="103"/>
      <c r="N78" s="103"/>
      <c r="O78" s="103"/>
    </row>
    <row r="79" spans="1:16" x14ac:dyDescent="0.2">
      <c r="A79" s="128" t="s">
        <v>11</v>
      </c>
      <c r="B79" s="128"/>
      <c r="C79" s="133"/>
      <c r="D79" s="103"/>
      <c r="E79" s="103"/>
      <c r="F79" s="103"/>
      <c r="G79" s="103"/>
      <c r="H79" s="103"/>
      <c r="I79" s="103"/>
      <c r="J79" s="103"/>
      <c r="K79" s="103"/>
      <c r="L79" s="103"/>
      <c r="M79" s="103"/>
      <c r="N79" s="103"/>
      <c r="O79" s="103"/>
    </row>
    <row r="80" spans="1:16" x14ac:dyDescent="0.2">
      <c r="A80" s="103"/>
      <c r="B80" s="103"/>
      <c r="C80" s="103"/>
      <c r="D80" s="103"/>
      <c r="E80" s="103"/>
      <c r="F80" s="103"/>
      <c r="G80" s="103"/>
      <c r="H80" s="103"/>
      <c r="I80" s="103"/>
      <c r="J80" s="103"/>
      <c r="K80" s="103"/>
      <c r="L80" s="103"/>
      <c r="M80" s="103"/>
      <c r="N80" s="103"/>
      <c r="O80" s="103"/>
    </row>
    <row r="81" spans="1:15" x14ac:dyDescent="0.2">
      <c r="A81" s="103"/>
      <c r="B81" s="103"/>
      <c r="C81" s="103"/>
      <c r="D81" s="103"/>
      <c r="E81" s="103"/>
      <c r="F81" s="103"/>
      <c r="G81" s="103"/>
      <c r="H81" s="103"/>
      <c r="I81" s="103"/>
      <c r="J81" s="103"/>
      <c r="K81" s="103"/>
      <c r="L81" s="103"/>
      <c r="M81" s="103"/>
      <c r="N81" s="103"/>
      <c r="O81" s="103"/>
    </row>
    <row r="82" spans="1:15" x14ac:dyDescent="0.2">
      <c r="A82" s="219" t="s">
        <v>12</v>
      </c>
      <c r="B82" s="219"/>
      <c r="C82" s="219"/>
      <c r="D82" s="219"/>
      <c r="E82" s="219"/>
      <c r="F82" s="219"/>
      <c r="G82" s="219"/>
      <c r="H82" s="219"/>
      <c r="I82" s="219"/>
      <c r="J82" s="219"/>
      <c r="K82" s="219"/>
      <c r="L82" s="219"/>
      <c r="M82" s="219"/>
      <c r="N82" s="219"/>
      <c r="O82" s="219"/>
    </row>
  </sheetData>
  <sheetProtection selectLockedCells="1" selectUnlockedCells="1"/>
  <mergeCells count="18">
    <mergeCell ref="A7:E7"/>
    <mergeCell ref="A1:P1"/>
    <mergeCell ref="A2:P2"/>
    <mergeCell ref="A3:P3"/>
    <mergeCell ref="A5:E5"/>
    <mergeCell ref="A6:E6"/>
    <mergeCell ref="A82:O82"/>
    <mergeCell ref="A11:A12"/>
    <mergeCell ref="B11:B12"/>
    <mergeCell ref="C11:C12"/>
    <mergeCell ref="D11:D12"/>
    <mergeCell ref="E11:E12"/>
    <mergeCell ref="F11:K11"/>
    <mergeCell ref="L11:P11"/>
    <mergeCell ref="B68:K68"/>
    <mergeCell ref="B72:E72"/>
    <mergeCell ref="G72:K72"/>
    <mergeCell ref="B77:E77"/>
  </mergeCells>
  <printOptions horizontalCentered="1"/>
  <pageMargins left="0.78749999999999998" right="0.39374999999999999" top="1.1812499999999999" bottom="0.39374999999999999" header="0.51180555555555551" footer="0.51180555555555551"/>
  <pageSetup paperSize="9" scale="74"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62F7F-2915-412D-81A5-B566BF370E61}">
  <dimension ref="A1:Q66"/>
  <sheetViews>
    <sheetView showZeros="0" workbookViewId="0">
      <selection activeCell="H40" sqref="H40"/>
    </sheetView>
  </sheetViews>
  <sheetFormatPr defaultColWidth="8.85546875" defaultRowHeight="12" x14ac:dyDescent="0.2"/>
  <cols>
    <col min="1" max="1" width="5.85546875" style="1" customWidth="1"/>
    <col min="2" max="2" width="5.85546875" style="45" customWidth="1"/>
    <col min="3" max="3" width="41" style="45" customWidth="1"/>
    <col min="4" max="5" width="8.85546875" style="45"/>
    <col min="6" max="11" width="8.85546875" style="1"/>
    <col min="12" max="16" width="11.85546875" style="1" customWidth="1"/>
    <col min="17" max="16384" width="8.85546875" style="1"/>
  </cols>
  <sheetData>
    <row r="1" spans="1:16" x14ac:dyDescent="0.2">
      <c r="A1" s="199" t="s">
        <v>315</v>
      </c>
      <c r="B1" s="199"/>
      <c r="C1" s="199"/>
      <c r="D1" s="199"/>
      <c r="E1" s="199"/>
      <c r="F1" s="199"/>
      <c r="G1" s="199"/>
      <c r="H1" s="199"/>
      <c r="I1" s="199"/>
      <c r="J1" s="199"/>
      <c r="K1" s="199"/>
      <c r="L1" s="199"/>
      <c r="M1" s="199"/>
      <c r="N1" s="199"/>
      <c r="O1" s="199"/>
      <c r="P1" s="199"/>
    </row>
    <row r="2" spans="1:16" x14ac:dyDescent="0.2">
      <c r="A2" s="199" t="s">
        <v>36</v>
      </c>
      <c r="B2" s="199"/>
      <c r="C2" s="199"/>
      <c r="D2" s="199"/>
      <c r="E2" s="199"/>
      <c r="F2" s="199"/>
      <c r="G2" s="199"/>
      <c r="H2" s="199"/>
      <c r="I2" s="199"/>
      <c r="J2" s="199"/>
      <c r="K2" s="199"/>
      <c r="L2" s="199"/>
      <c r="M2" s="199"/>
      <c r="N2" s="199"/>
      <c r="O2" s="199"/>
      <c r="P2" s="199"/>
    </row>
    <row r="3" spans="1:16" x14ac:dyDescent="0.2">
      <c r="A3" s="213" t="s">
        <v>46</v>
      </c>
      <c r="B3" s="213"/>
      <c r="C3" s="213"/>
      <c r="D3" s="213"/>
      <c r="E3" s="213"/>
      <c r="F3" s="213"/>
      <c r="G3" s="213"/>
      <c r="H3" s="213"/>
      <c r="I3" s="213"/>
      <c r="J3" s="213"/>
      <c r="K3" s="213"/>
      <c r="L3" s="213"/>
      <c r="M3" s="213"/>
      <c r="N3" s="213"/>
      <c r="O3" s="213"/>
      <c r="P3" s="213"/>
    </row>
    <row r="4" spans="1:16" x14ac:dyDescent="0.2">
      <c r="A4" s="70"/>
      <c r="B4" s="48"/>
      <c r="C4" s="48"/>
      <c r="D4" s="49"/>
      <c r="E4" s="49"/>
      <c r="F4" s="7"/>
      <c r="G4" s="7"/>
      <c r="H4" s="2"/>
      <c r="I4" s="7"/>
      <c r="J4" s="7"/>
      <c r="K4" s="7"/>
      <c r="L4" s="7"/>
      <c r="M4" s="7"/>
      <c r="N4" s="7"/>
      <c r="O4" s="7"/>
    </row>
    <row r="5" spans="1:16" ht="25.5" customHeight="1" x14ac:dyDescent="0.2">
      <c r="A5" s="210" t="str">
        <f>Koptāme!$A$11</f>
        <v>Objekta nosaukums: Slaucamo govju kūts jaunbūve īpašumā
"Vecsašava"</v>
      </c>
      <c r="B5" s="210"/>
      <c r="C5" s="210"/>
      <c r="D5" s="210"/>
      <c r="E5" s="210"/>
      <c r="F5" s="210"/>
      <c r="G5" s="51"/>
      <c r="H5" s="51"/>
      <c r="I5" s="51"/>
      <c r="J5" s="51"/>
      <c r="K5" s="51"/>
      <c r="L5" s="51"/>
      <c r="M5" s="51"/>
      <c r="N5" s="51"/>
      <c r="O5" s="51"/>
    </row>
    <row r="6" spans="1:16" ht="25.5" customHeight="1" x14ac:dyDescent="0.2">
      <c r="A6" s="210" t="str">
        <f>Koptāme!$A$12</f>
        <v>Objekta adrese: Īpašums "Vecsašava", Mālupes pagasts,
Alūksnes novads</v>
      </c>
      <c r="B6" s="210"/>
      <c r="C6" s="210"/>
      <c r="D6" s="210"/>
      <c r="E6" s="210"/>
      <c r="F6" s="210"/>
      <c r="G6" s="7"/>
      <c r="H6" s="2"/>
      <c r="I6" s="7"/>
      <c r="J6" s="7"/>
      <c r="K6" s="7"/>
      <c r="L6" s="7"/>
      <c r="M6" s="7"/>
      <c r="N6" s="7"/>
      <c r="O6" s="7"/>
    </row>
    <row r="7" spans="1:16" ht="14.25" customHeight="1" x14ac:dyDescent="0.2">
      <c r="A7" s="210" t="str">
        <f>Koptāme!$A$13</f>
        <v>Pasūtītājs: Z/S "Jaunceriņi"</v>
      </c>
      <c r="B7" s="210"/>
      <c r="C7" s="210"/>
      <c r="D7" s="210"/>
      <c r="E7" s="210"/>
      <c r="F7" s="210"/>
      <c r="G7" s="7"/>
      <c r="H7" s="2"/>
      <c r="I7" s="7"/>
      <c r="J7" s="7"/>
      <c r="K7" s="7"/>
      <c r="L7" s="7"/>
      <c r="M7" s="7"/>
      <c r="N7" s="7"/>
      <c r="O7" s="7"/>
    </row>
    <row r="8" spans="1:16" x14ac:dyDescent="0.2">
      <c r="A8" s="49"/>
      <c r="B8" s="47"/>
      <c r="C8" s="49"/>
      <c r="D8" s="52"/>
      <c r="E8" s="52"/>
      <c r="F8" s="52"/>
      <c r="G8" s="52"/>
      <c r="H8" s="52"/>
      <c r="I8" s="52"/>
      <c r="J8" s="52"/>
      <c r="K8" s="52"/>
      <c r="L8" s="52"/>
      <c r="M8" s="52"/>
      <c r="N8" s="52"/>
      <c r="O8" s="54" t="s">
        <v>47</v>
      </c>
      <c r="P8" s="55">
        <f>P52</f>
        <v>0</v>
      </c>
    </row>
    <row r="9" spans="1:16" x14ac:dyDescent="0.2">
      <c r="A9" s="49"/>
      <c r="B9" s="47"/>
      <c r="C9" s="49"/>
      <c r="D9" s="52"/>
      <c r="E9" s="52"/>
      <c r="F9" s="52"/>
      <c r="G9" s="52"/>
      <c r="H9" s="52"/>
      <c r="I9" s="52"/>
      <c r="J9" s="52"/>
      <c r="K9" s="52"/>
      <c r="L9" s="52"/>
      <c r="M9" s="52"/>
      <c r="N9" s="134" t="str">
        <f>'1-1.DOP'!$N$9</f>
        <v xml:space="preserve">Tāme sastādīta: </v>
      </c>
      <c r="O9" s="57"/>
      <c r="P9" s="52"/>
    </row>
    <row r="11" spans="1:16" ht="12.75" customHeight="1" x14ac:dyDescent="0.2">
      <c r="A11" s="214" t="s">
        <v>48</v>
      </c>
      <c r="B11" s="215" t="s">
        <v>49</v>
      </c>
      <c r="C11" s="214" t="s">
        <v>50</v>
      </c>
      <c r="D11" s="214" t="s">
        <v>51</v>
      </c>
      <c r="E11" s="214" t="s">
        <v>52</v>
      </c>
      <c r="F11" s="211" t="s">
        <v>53</v>
      </c>
      <c r="G11" s="211"/>
      <c r="H11" s="211"/>
      <c r="I11" s="211"/>
      <c r="J11" s="211"/>
      <c r="K11" s="211"/>
      <c r="L11" s="211" t="s">
        <v>54</v>
      </c>
      <c r="M11" s="211"/>
      <c r="N11" s="211"/>
      <c r="O11" s="211"/>
      <c r="P11" s="211"/>
    </row>
    <row r="12" spans="1:16" ht="96" x14ac:dyDescent="0.2">
      <c r="A12" s="214"/>
      <c r="B12" s="215"/>
      <c r="C12" s="214"/>
      <c r="D12" s="214"/>
      <c r="E12" s="214"/>
      <c r="F12" s="194" t="s">
        <v>55</v>
      </c>
      <c r="G12" s="194" t="s">
        <v>56</v>
      </c>
      <c r="H12" s="194" t="s">
        <v>57</v>
      </c>
      <c r="I12" s="194" t="s">
        <v>23</v>
      </c>
      <c r="J12" s="194" t="s">
        <v>58</v>
      </c>
      <c r="K12" s="194" t="s">
        <v>59</v>
      </c>
      <c r="L12" s="194" t="s">
        <v>60</v>
      </c>
      <c r="M12" s="194" t="s">
        <v>57</v>
      </c>
      <c r="N12" s="194" t="s">
        <v>23</v>
      </c>
      <c r="O12" s="194" t="s">
        <v>58</v>
      </c>
      <c r="P12" s="194" t="s">
        <v>61</v>
      </c>
    </row>
    <row r="13" spans="1:16" x14ac:dyDescent="0.2">
      <c r="A13" s="194">
        <v>1</v>
      </c>
      <c r="B13" s="194">
        <v>2</v>
      </c>
      <c r="C13" s="194">
        <f>B13+1</f>
        <v>3</v>
      </c>
      <c r="D13" s="194">
        <f t="shared" ref="D13:P13" si="0">C13+1</f>
        <v>4</v>
      </c>
      <c r="E13" s="194">
        <f t="shared" si="0"/>
        <v>5</v>
      </c>
      <c r="F13" s="194">
        <f>E13+1</f>
        <v>6</v>
      </c>
      <c r="G13" s="194">
        <f>F13+1</f>
        <v>7</v>
      </c>
      <c r="H13" s="194">
        <f t="shared" si="0"/>
        <v>8</v>
      </c>
      <c r="I13" s="194">
        <f t="shared" si="0"/>
        <v>9</v>
      </c>
      <c r="J13" s="194">
        <f t="shared" si="0"/>
        <v>10</v>
      </c>
      <c r="K13" s="194">
        <f t="shared" si="0"/>
        <v>11</v>
      </c>
      <c r="L13" s="194">
        <f t="shared" si="0"/>
        <v>12</v>
      </c>
      <c r="M13" s="194">
        <f t="shared" si="0"/>
        <v>13</v>
      </c>
      <c r="N13" s="194">
        <f t="shared" si="0"/>
        <v>14</v>
      </c>
      <c r="O13" s="194">
        <f t="shared" si="0"/>
        <v>15</v>
      </c>
      <c r="P13" s="194">
        <f t="shared" si="0"/>
        <v>16</v>
      </c>
    </row>
    <row r="14" spans="1:16" x14ac:dyDescent="0.2">
      <c r="A14" s="58"/>
      <c r="B14" s="59"/>
      <c r="C14" s="76" t="s">
        <v>36</v>
      </c>
      <c r="D14" s="87"/>
      <c r="E14" s="87"/>
      <c r="F14" s="58"/>
      <c r="G14" s="58"/>
      <c r="H14" s="58"/>
      <c r="I14" s="58"/>
      <c r="J14" s="58"/>
      <c r="K14" s="58"/>
      <c r="L14" s="58"/>
      <c r="M14" s="58"/>
      <c r="N14" s="58"/>
      <c r="O14" s="58"/>
      <c r="P14" s="58"/>
    </row>
    <row r="15" spans="1:16" ht="16.149999999999999" customHeight="1" x14ac:dyDescent="0.2">
      <c r="A15" s="115">
        <f>IF(D15="","",COUNTIF(B$13:$B15,"l.c"))</f>
        <v>1</v>
      </c>
      <c r="B15" s="115" t="str">
        <f>IF(D15="","","l.c")</f>
        <v>l.c</v>
      </c>
      <c r="C15" s="135" t="s">
        <v>316</v>
      </c>
      <c r="D15" s="136" t="s">
        <v>109</v>
      </c>
      <c r="E15" s="136">
        <v>10</v>
      </c>
      <c r="F15" s="65"/>
      <c r="G15" s="64"/>
      <c r="H15" s="64"/>
      <c r="I15" s="64"/>
      <c r="J15" s="64"/>
      <c r="K15" s="64"/>
      <c r="L15" s="64"/>
      <c r="M15" s="64"/>
      <c r="N15" s="64"/>
      <c r="O15" s="64"/>
      <c r="P15" s="64"/>
    </row>
    <row r="16" spans="1:16" ht="16.5" x14ac:dyDescent="0.2">
      <c r="A16" s="115">
        <f>IF(D16="","",COUNTIF(B$13:$B16,"l.c"))</f>
        <v>2</v>
      </c>
      <c r="B16" s="115" t="str">
        <f t="shared" ref="B16:B20" si="1">IF(D16="","","l.c")</f>
        <v>l.c</v>
      </c>
      <c r="C16" s="135" t="s">
        <v>317</v>
      </c>
      <c r="D16" s="136" t="s">
        <v>109</v>
      </c>
      <c r="E16" s="136">
        <v>50</v>
      </c>
      <c r="F16" s="65"/>
      <c r="G16" s="64"/>
      <c r="H16" s="64"/>
      <c r="I16" s="64"/>
      <c r="J16" s="64"/>
      <c r="K16" s="64"/>
      <c r="L16" s="64"/>
      <c r="M16" s="64"/>
      <c r="N16" s="64"/>
      <c r="O16" s="64"/>
      <c r="P16" s="64"/>
    </row>
    <row r="17" spans="1:16" ht="16.5" x14ac:dyDescent="0.2">
      <c r="A17" s="115">
        <f>IF(D17="","",COUNTIF(B$13:$B17,"l.c"))</f>
        <v>3</v>
      </c>
      <c r="B17" s="115" t="str">
        <f t="shared" si="1"/>
        <v>l.c</v>
      </c>
      <c r="C17" s="135" t="s">
        <v>318</v>
      </c>
      <c r="D17" s="136" t="s">
        <v>65</v>
      </c>
      <c r="E17" s="136">
        <v>235</v>
      </c>
      <c r="F17" s="65"/>
      <c r="G17" s="64"/>
      <c r="H17" s="64"/>
      <c r="I17" s="64"/>
      <c r="J17" s="64"/>
      <c r="K17" s="64"/>
      <c r="L17" s="64"/>
      <c r="M17" s="64"/>
      <c r="N17" s="64"/>
      <c r="O17" s="64"/>
      <c r="P17" s="64"/>
    </row>
    <row r="18" spans="1:16" ht="16.5" x14ac:dyDescent="0.2">
      <c r="A18" s="115">
        <f>IF(D18="","",COUNTIF(B$13:$B18,"l.c"))</f>
        <v>4</v>
      </c>
      <c r="B18" s="115" t="str">
        <f t="shared" si="1"/>
        <v>l.c</v>
      </c>
      <c r="C18" s="137" t="s">
        <v>319</v>
      </c>
      <c r="D18" s="136" t="s">
        <v>109</v>
      </c>
      <c r="E18" s="136">
        <v>230</v>
      </c>
      <c r="F18" s="65"/>
      <c r="G18" s="64"/>
      <c r="H18" s="64"/>
      <c r="I18" s="64"/>
      <c r="J18" s="64"/>
      <c r="K18" s="64"/>
      <c r="L18" s="64"/>
      <c r="M18" s="64"/>
      <c r="N18" s="64"/>
      <c r="O18" s="64"/>
      <c r="P18" s="64"/>
    </row>
    <row r="19" spans="1:16" ht="16.5" x14ac:dyDescent="0.2">
      <c r="A19" s="115">
        <f>IF(D19="","",COUNTIF(B$13:$B19,"l.c"))</f>
        <v>5</v>
      </c>
      <c r="B19" s="115" t="str">
        <f t="shared" si="1"/>
        <v>l.c</v>
      </c>
      <c r="C19" s="135" t="s">
        <v>320</v>
      </c>
      <c r="D19" s="136" t="s">
        <v>109</v>
      </c>
      <c r="E19" s="136">
        <v>8</v>
      </c>
      <c r="F19" s="65"/>
      <c r="G19" s="64"/>
      <c r="H19" s="64"/>
      <c r="I19" s="64"/>
      <c r="J19" s="64"/>
      <c r="K19" s="64"/>
      <c r="L19" s="64"/>
      <c r="M19" s="64"/>
      <c r="N19" s="64"/>
      <c r="O19" s="64"/>
      <c r="P19" s="64"/>
    </row>
    <row r="20" spans="1:16" ht="16.5" x14ac:dyDescent="0.2">
      <c r="A20" s="115">
        <f>IF(D20="","",COUNTIF(B$13:$B20,"l.c"))</f>
        <v>6</v>
      </c>
      <c r="B20" s="115" t="str">
        <f t="shared" si="1"/>
        <v>l.c</v>
      </c>
      <c r="C20" s="137" t="s">
        <v>321</v>
      </c>
      <c r="D20" s="136" t="s">
        <v>107</v>
      </c>
      <c r="E20" s="136">
        <v>8</v>
      </c>
      <c r="F20" s="65"/>
      <c r="G20" s="64"/>
      <c r="H20" s="64"/>
      <c r="I20" s="64"/>
      <c r="J20" s="64"/>
      <c r="K20" s="64"/>
      <c r="L20" s="64"/>
      <c r="M20" s="64"/>
      <c r="N20" s="64"/>
      <c r="O20" s="64"/>
      <c r="P20" s="64"/>
    </row>
    <row r="21" spans="1:16" ht="16.5" x14ac:dyDescent="0.2">
      <c r="A21" s="115">
        <f>IF(D21="","",COUNTIF(B$13:$B21,"l.c"))</f>
        <v>7</v>
      </c>
      <c r="B21" s="115" t="str">
        <f t="shared" ref="B21:B50" si="2">IF(D21="","","l.c")</f>
        <v>l.c</v>
      </c>
      <c r="C21" s="137" t="s">
        <v>322</v>
      </c>
      <c r="D21" s="136" t="s">
        <v>107</v>
      </c>
      <c r="E21" s="136">
        <v>1</v>
      </c>
      <c r="F21" s="65"/>
      <c r="G21" s="64"/>
      <c r="H21" s="64"/>
      <c r="I21" s="64"/>
      <c r="J21" s="64"/>
      <c r="K21" s="64"/>
      <c r="L21" s="64"/>
      <c r="M21" s="64"/>
      <c r="N21" s="64"/>
      <c r="O21" s="64"/>
      <c r="P21" s="64"/>
    </row>
    <row r="22" spans="1:16" ht="16.5" x14ac:dyDescent="0.2">
      <c r="A22" s="115">
        <f>IF(D22="","",COUNTIF(B$13:$B22,"l.c"))</f>
        <v>8</v>
      </c>
      <c r="B22" s="115" t="str">
        <f t="shared" si="2"/>
        <v>l.c</v>
      </c>
      <c r="C22" s="135" t="s">
        <v>303</v>
      </c>
      <c r="D22" s="136" t="s">
        <v>65</v>
      </c>
      <c r="E22" s="136">
        <v>200</v>
      </c>
      <c r="F22" s="65"/>
      <c r="G22" s="64"/>
      <c r="H22" s="64"/>
      <c r="I22" s="64"/>
      <c r="J22" s="64"/>
      <c r="K22" s="64"/>
      <c r="L22" s="64"/>
      <c r="M22" s="64"/>
      <c r="N22" s="64"/>
      <c r="O22" s="64"/>
      <c r="P22" s="64"/>
    </row>
    <row r="23" spans="1:16" ht="16.5" x14ac:dyDescent="0.2">
      <c r="A23" s="115">
        <f>IF(D23="","",COUNTIF(B$13:$B23,"l.c"))</f>
        <v>9</v>
      </c>
      <c r="B23" s="115" t="str">
        <f t="shared" si="2"/>
        <v>l.c</v>
      </c>
      <c r="C23" s="135" t="s">
        <v>323</v>
      </c>
      <c r="D23" s="136" t="s">
        <v>109</v>
      </c>
      <c r="E23" s="136">
        <v>22</v>
      </c>
      <c r="F23" s="65"/>
      <c r="G23" s="64"/>
      <c r="H23" s="64"/>
      <c r="I23" s="64"/>
      <c r="J23" s="64"/>
      <c r="K23" s="64"/>
      <c r="L23" s="64"/>
      <c r="M23" s="64"/>
      <c r="N23" s="64"/>
      <c r="O23" s="64"/>
      <c r="P23" s="64"/>
    </row>
    <row r="24" spans="1:16" ht="16.5" x14ac:dyDescent="0.2">
      <c r="A24" s="115">
        <f>IF(D24="","",COUNTIF(B$13:$B24,"l.c"))</f>
        <v>10</v>
      </c>
      <c r="B24" s="115" t="str">
        <f t="shared" si="2"/>
        <v>l.c</v>
      </c>
      <c r="C24" s="135" t="s">
        <v>324</v>
      </c>
      <c r="D24" s="136" t="s">
        <v>109</v>
      </c>
      <c r="E24" s="136">
        <v>22</v>
      </c>
      <c r="F24" s="65"/>
      <c r="G24" s="64"/>
      <c r="H24" s="64"/>
      <c r="I24" s="64"/>
      <c r="J24" s="64"/>
      <c r="K24" s="64"/>
      <c r="L24" s="64"/>
      <c r="M24" s="64"/>
      <c r="N24" s="64"/>
      <c r="O24" s="64"/>
      <c r="P24" s="64"/>
    </row>
    <row r="25" spans="1:16" ht="16.5" x14ac:dyDescent="0.2">
      <c r="A25" s="115">
        <f>IF(D25="","",COUNTIF(B$13:$B25,"l.c"))</f>
        <v>11</v>
      </c>
      <c r="B25" s="115" t="str">
        <f t="shared" si="2"/>
        <v>l.c</v>
      </c>
      <c r="C25" s="135" t="s">
        <v>325</v>
      </c>
      <c r="D25" s="136" t="s">
        <v>109</v>
      </c>
      <c r="E25" s="136">
        <v>1</v>
      </c>
      <c r="F25" s="65"/>
      <c r="G25" s="64"/>
      <c r="H25" s="64"/>
      <c r="I25" s="64"/>
      <c r="J25" s="64"/>
      <c r="K25" s="64"/>
      <c r="L25" s="64"/>
      <c r="M25" s="64"/>
      <c r="N25" s="64"/>
      <c r="O25" s="64"/>
      <c r="P25" s="64"/>
    </row>
    <row r="26" spans="1:16" ht="16.5" x14ac:dyDescent="0.2">
      <c r="A26" s="115">
        <f>IF(D26="","",COUNTIF(B$13:$B26,"l.c"))</f>
        <v>12</v>
      </c>
      <c r="B26" s="115" t="str">
        <f t="shared" si="2"/>
        <v>l.c</v>
      </c>
      <c r="C26" s="135" t="s">
        <v>326</v>
      </c>
      <c r="D26" s="136" t="s">
        <v>109</v>
      </c>
      <c r="E26" s="136">
        <v>22</v>
      </c>
      <c r="F26" s="65"/>
      <c r="G26" s="64"/>
      <c r="H26" s="64"/>
      <c r="I26" s="64"/>
      <c r="J26" s="64"/>
      <c r="K26" s="64"/>
      <c r="L26" s="64"/>
      <c r="M26" s="64"/>
      <c r="N26" s="64"/>
      <c r="O26" s="64"/>
      <c r="P26" s="64"/>
    </row>
    <row r="27" spans="1:16" ht="16.5" x14ac:dyDescent="0.2">
      <c r="A27" s="115">
        <f>IF(D27="","",COUNTIF(B$13:$B27,"l.c"))</f>
        <v>13</v>
      </c>
      <c r="B27" s="115" t="str">
        <f t="shared" si="2"/>
        <v>l.c</v>
      </c>
      <c r="C27" s="135" t="s">
        <v>327</v>
      </c>
      <c r="D27" s="136" t="s">
        <v>65</v>
      </c>
      <c r="E27" s="136">
        <v>40</v>
      </c>
      <c r="F27" s="65"/>
      <c r="G27" s="64"/>
      <c r="H27" s="64"/>
      <c r="I27" s="64"/>
      <c r="J27" s="64"/>
      <c r="K27" s="64"/>
      <c r="L27" s="64"/>
      <c r="M27" s="64"/>
      <c r="N27" s="64"/>
      <c r="O27" s="64"/>
      <c r="P27" s="64"/>
    </row>
    <row r="28" spans="1:16" ht="16.5" x14ac:dyDescent="0.2">
      <c r="A28" s="115">
        <f>IF(D28="","",COUNTIF(B$13:$B28,"l.c"))</f>
        <v>14</v>
      </c>
      <c r="B28" s="115" t="str">
        <f t="shared" si="2"/>
        <v>l.c</v>
      </c>
      <c r="C28" s="135" t="s">
        <v>328</v>
      </c>
      <c r="D28" s="136" t="s">
        <v>109</v>
      </c>
      <c r="E28" s="136">
        <v>23</v>
      </c>
      <c r="F28" s="65"/>
      <c r="G28" s="64"/>
      <c r="H28" s="64"/>
      <c r="I28" s="64"/>
      <c r="J28" s="64"/>
      <c r="K28" s="64"/>
      <c r="L28" s="64"/>
      <c r="M28" s="64"/>
      <c r="N28" s="64"/>
      <c r="O28" s="64"/>
      <c r="P28" s="64"/>
    </row>
    <row r="29" spans="1:16" ht="16.5" x14ac:dyDescent="0.2">
      <c r="A29" s="115">
        <f>IF(D29="","",COUNTIF(B$13:$B29,"l.c"))</f>
        <v>15</v>
      </c>
      <c r="B29" s="115" t="str">
        <f t="shared" si="2"/>
        <v>l.c</v>
      </c>
      <c r="C29" s="135" t="s">
        <v>329</v>
      </c>
      <c r="D29" s="136" t="s">
        <v>109</v>
      </c>
      <c r="E29" s="136">
        <v>120</v>
      </c>
      <c r="F29" s="65"/>
      <c r="G29" s="64"/>
      <c r="H29" s="64"/>
      <c r="I29" s="64"/>
      <c r="J29" s="64"/>
      <c r="K29" s="64"/>
      <c r="L29" s="64"/>
      <c r="M29" s="64"/>
      <c r="N29" s="64"/>
      <c r="O29" s="64"/>
      <c r="P29" s="64"/>
    </row>
    <row r="30" spans="1:16" ht="16.5" x14ac:dyDescent="0.2">
      <c r="A30" s="115">
        <f>IF(D30="","",COUNTIF(B$13:$B30,"l.c"))</f>
        <v>16</v>
      </c>
      <c r="B30" s="115" t="str">
        <f t="shared" si="2"/>
        <v>l.c</v>
      </c>
      <c r="C30" s="137" t="s">
        <v>330</v>
      </c>
      <c r="D30" s="136" t="s">
        <v>109</v>
      </c>
      <c r="E30" s="136">
        <v>6</v>
      </c>
      <c r="F30" s="65"/>
      <c r="G30" s="64"/>
      <c r="H30" s="64"/>
      <c r="I30" s="64"/>
      <c r="J30" s="64"/>
      <c r="K30" s="64"/>
      <c r="L30" s="64"/>
      <c r="M30" s="64"/>
      <c r="N30" s="64"/>
      <c r="O30" s="64"/>
      <c r="P30" s="64"/>
    </row>
    <row r="31" spans="1:16" ht="16.5" x14ac:dyDescent="0.2">
      <c r="A31" s="115">
        <f>IF(D31="","",COUNTIF(B$13:$B31,"l.c"))</f>
        <v>17</v>
      </c>
      <c r="B31" s="115" t="str">
        <f t="shared" si="2"/>
        <v>l.c</v>
      </c>
      <c r="C31" s="137" t="s">
        <v>331</v>
      </c>
      <c r="D31" s="136" t="s">
        <v>65</v>
      </c>
      <c r="E31" s="136">
        <v>70</v>
      </c>
      <c r="F31" s="65"/>
      <c r="G31" s="64"/>
      <c r="H31" s="64"/>
      <c r="I31" s="64"/>
      <c r="J31" s="64"/>
      <c r="K31" s="64"/>
      <c r="L31" s="64"/>
      <c r="M31" s="64"/>
      <c r="N31" s="64"/>
      <c r="O31" s="64"/>
      <c r="P31" s="64"/>
    </row>
    <row r="32" spans="1:16" ht="16.5" x14ac:dyDescent="0.2">
      <c r="A32" s="115">
        <f>IF(D32="","",COUNTIF(B$13:$B32,"l.c"))</f>
        <v>18</v>
      </c>
      <c r="B32" s="115" t="str">
        <f t="shared" si="2"/>
        <v>l.c</v>
      </c>
      <c r="C32" s="137" t="s">
        <v>332</v>
      </c>
      <c r="D32" s="136" t="s">
        <v>65</v>
      </c>
      <c r="E32" s="136">
        <v>35</v>
      </c>
      <c r="F32" s="65"/>
      <c r="G32" s="64"/>
      <c r="H32" s="64"/>
      <c r="I32" s="64"/>
      <c r="J32" s="64"/>
      <c r="K32" s="64"/>
      <c r="L32" s="64"/>
      <c r="M32" s="64"/>
      <c r="N32" s="64"/>
      <c r="O32" s="64"/>
      <c r="P32" s="64"/>
    </row>
    <row r="33" spans="1:17" ht="16.5" x14ac:dyDescent="0.2">
      <c r="A33" s="115">
        <f>IF(D33="","",COUNTIF(B$13:$B33,"l.c"))</f>
        <v>19</v>
      </c>
      <c r="B33" s="115" t="str">
        <f t="shared" si="2"/>
        <v>l.c</v>
      </c>
      <c r="C33" s="137" t="s">
        <v>333</v>
      </c>
      <c r="D33" s="136" t="s">
        <v>109</v>
      </c>
      <c r="E33" s="136">
        <v>4</v>
      </c>
      <c r="F33" s="65"/>
      <c r="G33" s="64"/>
      <c r="H33" s="64"/>
      <c r="I33" s="64"/>
      <c r="J33" s="64"/>
      <c r="K33" s="64"/>
      <c r="L33" s="64"/>
      <c r="M33" s="64"/>
      <c r="N33" s="64"/>
      <c r="O33" s="64"/>
      <c r="P33" s="64"/>
    </row>
    <row r="34" spans="1:17" ht="16.5" x14ac:dyDescent="0.2">
      <c r="A34" s="115">
        <f>IF(D34="","",COUNTIF(B$13:$B34,"l.c"))</f>
        <v>20</v>
      </c>
      <c r="B34" s="115" t="str">
        <f t="shared" si="2"/>
        <v>l.c</v>
      </c>
      <c r="C34" s="137" t="s">
        <v>334</v>
      </c>
      <c r="D34" s="136" t="s">
        <v>65</v>
      </c>
      <c r="E34" s="136">
        <v>35</v>
      </c>
      <c r="F34" s="65"/>
      <c r="G34" s="64"/>
      <c r="H34" s="64"/>
      <c r="I34" s="64"/>
      <c r="J34" s="64"/>
      <c r="K34" s="64"/>
      <c r="L34" s="64"/>
      <c r="M34" s="64"/>
      <c r="N34" s="64"/>
      <c r="O34" s="64"/>
      <c r="P34" s="64"/>
    </row>
    <row r="35" spans="1:17" ht="16.5" x14ac:dyDescent="0.2">
      <c r="A35" s="115">
        <f>IF(D35="","",COUNTIF(B$13:$B35,"l.c"))</f>
        <v>21</v>
      </c>
      <c r="B35" s="115" t="str">
        <f t="shared" si="2"/>
        <v>l.c</v>
      </c>
      <c r="C35" s="137" t="s">
        <v>335</v>
      </c>
      <c r="D35" s="136" t="s">
        <v>65</v>
      </c>
      <c r="E35" s="136">
        <v>35</v>
      </c>
      <c r="F35" s="65"/>
      <c r="G35" s="64"/>
      <c r="H35" s="64"/>
      <c r="I35" s="64"/>
      <c r="J35" s="64"/>
      <c r="K35" s="64"/>
      <c r="L35" s="64"/>
      <c r="M35" s="64"/>
      <c r="N35" s="64"/>
      <c r="O35" s="64"/>
      <c r="P35" s="64"/>
    </row>
    <row r="36" spans="1:17" ht="16.5" x14ac:dyDescent="0.2">
      <c r="A36" s="115">
        <f>IF(D36="","",COUNTIF(B$13:$B36,"l.c"))</f>
        <v>22</v>
      </c>
      <c r="B36" s="115" t="str">
        <f t="shared" si="2"/>
        <v>l.c</v>
      </c>
      <c r="C36" s="137" t="s">
        <v>336</v>
      </c>
      <c r="D36" s="136" t="s">
        <v>65</v>
      </c>
      <c r="E36" s="136">
        <v>35</v>
      </c>
      <c r="F36" s="65"/>
      <c r="G36" s="64"/>
      <c r="H36" s="64"/>
      <c r="I36" s="64"/>
      <c r="J36" s="64"/>
      <c r="K36" s="64"/>
      <c r="L36" s="64"/>
      <c r="M36" s="64"/>
      <c r="N36" s="64"/>
      <c r="O36" s="64"/>
      <c r="P36" s="64"/>
    </row>
    <row r="37" spans="1:17" ht="16.5" x14ac:dyDescent="0.2">
      <c r="A37" s="115">
        <f>IF(D37="","",COUNTIF(B$13:$B37,"l.c"))</f>
        <v>23</v>
      </c>
      <c r="B37" s="115" t="str">
        <f t="shared" si="2"/>
        <v>l.c</v>
      </c>
      <c r="C37" s="137" t="s">
        <v>337</v>
      </c>
      <c r="D37" s="136" t="s">
        <v>65</v>
      </c>
      <c r="E37" s="136">
        <v>35</v>
      </c>
      <c r="F37" s="65"/>
      <c r="G37" s="64"/>
      <c r="H37" s="64"/>
      <c r="I37" s="64"/>
      <c r="J37" s="64"/>
      <c r="K37" s="64"/>
      <c r="L37" s="64"/>
      <c r="M37" s="64"/>
      <c r="N37" s="64"/>
      <c r="O37" s="64"/>
      <c r="P37" s="64"/>
      <c r="Q37" s="138"/>
    </row>
    <row r="38" spans="1:17" ht="16.5" x14ac:dyDescent="0.2">
      <c r="A38" s="115" t="str">
        <f>IF(D38="","",COUNTIF(B$13:$B38,"l.c"))</f>
        <v/>
      </c>
      <c r="B38" s="115" t="str">
        <f t="shared" si="2"/>
        <v/>
      </c>
      <c r="C38" s="137"/>
      <c r="D38" s="136"/>
      <c r="E38" s="136"/>
      <c r="F38" s="65"/>
      <c r="G38" s="64"/>
      <c r="H38" s="64"/>
      <c r="I38" s="64"/>
      <c r="J38" s="64"/>
      <c r="K38" s="64"/>
      <c r="L38" s="64"/>
      <c r="M38" s="64"/>
      <c r="N38" s="64"/>
      <c r="O38" s="64"/>
      <c r="P38" s="64"/>
      <c r="Q38" s="138"/>
    </row>
    <row r="39" spans="1:17" ht="16.5" x14ac:dyDescent="0.2">
      <c r="A39" s="115">
        <f>IF(D39="","",COUNTIF(B$13:$B39,"l.c"))</f>
        <v>24</v>
      </c>
      <c r="B39" s="115" t="str">
        <f t="shared" si="2"/>
        <v>l.c</v>
      </c>
      <c r="C39" s="137" t="s">
        <v>338</v>
      </c>
      <c r="D39" s="136" t="s">
        <v>109</v>
      </c>
      <c r="E39" s="136">
        <v>1</v>
      </c>
      <c r="F39" s="65"/>
      <c r="G39" s="64"/>
      <c r="H39" s="64"/>
      <c r="I39" s="64"/>
      <c r="J39" s="64"/>
      <c r="K39" s="64"/>
      <c r="L39" s="64"/>
      <c r="M39" s="64"/>
      <c r="N39" s="64"/>
      <c r="O39" s="64"/>
      <c r="P39" s="64"/>
    </row>
    <row r="40" spans="1:17" ht="16.5" x14ac:dyDescent="0.2">
      <c r="A40" s="115">
        <f>IF(D40="","",COUNTIF(B$13:$B40,"l.c"))</f>
        <v>25</v>
      </c>
      <c r="B40" s="115" t="str">
        <f t="shared" si="2"/>
        <v>l.c</v>
      </c>
      <c r="C40" s="137" t="s">
        <v>339</v>
      </c>
      <c r="D40" s="136" t="s">
        <v>65</v>
      </c>
      <c r="E40" s="136">
        <v>40</v>
      </c>
      <c r="F40" s="65"/>
      <c r="G40" s="64"/>
      <c r="H40" s="64"/>
      <c r="I40" s="64"/>
      <c r="J40" s="64"/>
      <c r="K40" s="64"/>
      <c r="L40" s="64"/>
      <c r="M40" s="64"/>
      <c r="N40" s="64"/>
      <c r="O40" s="64"/>
      <c r="P40" s="64"/>
    </row>
    <row r="41" spans="1:17" ht="16.5" x14ac:dyDescent="0.2">
      <c r="A41" s="115">
        <f>IF(D41="","",COUNTIF(B$13:$B41,"l.c"))</f>
        <v>26</v>
      </c>
      <c r="B41" s="115" t="str">
        <f t="shared" si="2"/>
        <v>l.c</v>
      </c>
      <c r="C41" s="137" t="s">
        <v>340</v>
      </c>
      <c r="D41" s="136" t="s">
        <v>65</v>
      </c>
      <c r="E41" s="136">
        <v>46</v>
      </c>
      <c r="F41" s="65"/>
      <c r="G41" s="64"/>
      <c r="H41" s="64"/>
      <c r="I41" s="64"/>
      <c r="J41" s="64"/>
      <c r="K41" s="64"/>
      <c r="L41" s="64"/>
      <c r="M41" s="64"/>
      <c r="N41" s="64"/>
      <c r="O41" s="64"/>
      <c r="P41" s="64"/>
    </row>
    <row r="42" spans="1:17" ht="16.5" x14ac:dyDescent="0.2">
      <c r="A42" s="115">
        <f>IF(D42="","",COUNTIF(B$13:$B42,"l.c"))</f>
        <v>27</v>
      </c>
      <c r="B42" s="115" t="str">
        <f t="shared" si="2"/>
        <v>l.c</v>
      </c>
      <c r="C42" s="137" t="s">
        <v>302</v>
      </c>
      <c r="D42" s="136" t="s">
        <v>109</v>
      </c>
      <c r="E42" s="136">
        <v>1</v>
      </c>
      <c r="F42" s="65"/>
      <c r="G42" s="64"/>
      <c r="H42" s="64"/>
      <c r="I42" s="64"/>
      <c r="J42" s="64"/>
      <c r="K42" s="64"/>
      <c r="L42" s="64"/>
      <c r="M42" s="64"/>
      <c r="N42" s="64"/>
      <c r="O42" s="64"/>
      <c r="P42" s="64"/>
    </row>
    <row r="43" spans="1:17" ht="16.5" x14ac:dyDescent="0.2">
      <c r="A43" s="115">
        <f>IF(D43="","",COUNTIF(B$13:$B43,"l.c"))</f>
        <v>28</v>
      </c>
      <c r="B43" s="115" t="str">
        <f t="shared" si="2"/>
        <v>l.c</v>
      </c>
      <c r="C43" s="137" t="s">
        <v>301</v>
      </c>
      <c r="D43" s="136" t="s">
        <v>109</v>
      </c>
      <c r="E43" s="136">
        <v>1</v>
      </c>
      <c r="F43" s="65"/>
      <c r="G43" s="64"/>
      <c r="H43" s="64"/>
      <c r="I43" s="64"/>
      <c r="J43" s="64"/>
      <c r="K43" s="64"/>
      <c r="L43" s="64"/>
      <c r="M43" s="64"/>
      <c r="N43" s="64"/>
      <c r="O43" s="64"/>
      <c r="P43" s="64"/>
    </row>
    <row r="44" spans="1:17" ht="16.5" x14ac:dyDescent="0.2">
      <c r="A44" s="115">
        <f>IF(D44="","",COUNTIF(B$13:$B44,"l.c"))</f>
        <v>29</v>
      </c>
      <c r="B44" s="115" t="str">
        <f t="shared" si="2"/>
        <v>l.c</v>
      </c>
      <c r="C44" s="137" t="s">
        <v>341</v>
      </c>
      <c r="D44" s="136" t="s">
        <v>65</v>
      </c>
      <c r="E44" s="136">
        <v>165</v>
      </c>
      <c r="F44" s="65"/>
      <c r="G44" s="64"/>
      <c r="H44" s="64"/>
      <c r="I44" s="64"/>
      <c r="J44" s="64"/>
      <c r="K44" s="64"/>
      <c r="L44" s="64"/>
      <c r="M44" s="64"/>
      <c r="N44" s="64"/>
      <c r="O44" s="64"/>
      <c r="P44" s="64"/>
    </row>
    <row r="45" spans="1:17" ht="16.5" x14ac:dyDescent="0.2">
      <c r="A45" s="115">
        <f>IF(D45="","",COUNTIF(B$13:$B45,"l.c"))</f>
        <v>30</v>
      </c>
      <c r="B45" s="115" t="str">
        <f t="shared" si="2"/>
        <v>l.c</v>
      </c>
      <c r="C45" s="137" t="s">
        <v>342</v>
      </c>
      <c r="D45" s="136" t="s">
        <v>93</v>
      </c>
      <c r="E45" s="136">
        <v>9</v>
      </c>
      <c r="F45" s="65"/>
      <c r="G45" s="64"/>
      <c r="H45" s="64"/>
      <c r="I45" s="64"/>
      <c r="J45" s="64"/>
      <c r="K45" s="64"/>
      <c r="L45" s="64"/>
      <c r="M45" s="64"/>
      <c r="N45" s="64"/>
      <c r="O45" s="64"/>
      <c r="P45" s="64"/>
    </row>
    <row r="46" spans="1:17" ht="16.5" x14ac:dyDescent="0.2">
      <c r="A46" s="115">
        <f>IF(D46="","",COUNTIF(B$13:$B46,"l.c"))</f>
        <v>31</v>
      </c>
      <c r="B46" s="115" t="str">
        <f t="shared" si="2"/>
        <v>l.c</v>
      </c>
      <c r="C46" s="135" t="s">
        <v>343</v>
      </c>
      <c r="D46" s="136" t="s">
        <v>65</v>
      </c>
      <c r="E46" s="136">
        <v>91</v>
      </c>
      <c r="F46" s="65"/>
      <c r="G46" s="64"/>
      <c r="H46" s="64"/>
      <c r="I46" s="64"/>
      <c r="J46" s="64"/>
      <c r="K46" s="64"/>
      <c r="L46" s="64"/>
      <c r="M46" s="64"/>
      <c r="N46" s="64"/>
      <c r="O46" s="64"/>
      <c r="P46" s="64"/>
    </row>
    <row r="47" spans="1:17" ht="16.5" x14ac:dyDescent="0.2">
      <c r="A47" s="115">
        <f>IF(D47="","",COUNTIF(B$13:$B47,"l.c"))</f>
        <v>32</v>
      </c>
      <c r="B47" s="115" t="str">
        <f>IF(D47="","","l.c")</f>
        <v>l.c</v>
      </c>
      <c r="C47" s="139" t="s">
        <v>309</v>
      </c>
      <c r="D47" s="140" t="s">
        <v>107</v>
      </c>
      <c r="E47" s="140">
        <v>1</v>
      </c>
      <c r="F47" s="65"/>
      <c r="G47" s="64"/>
      <c r="H47" s="64"/>
      <c r="I47" s="64"/>
      <c r="J47" s="64"/>
      <c r="K47" s="64"/>
      <c r="L47" s="64"/>
      <c r="M47" s="64"/>
      <c r="N47" s="64"/>
      <c r="O47" s="64"/>
      <c r="P47" s="64"/>
    </row>
    <row r="48" spans="1:17" ht="15.75" x14ac:dyDescent="0.2">
      <c r="A48" s="115"/>
      <c r="B48" s="115"/>
      <c r="C48" s="141" t="s">
        <v>310</v>
      </c>
      <c r="D48" s="141"/>
      <c r="E48" s="141"/>
      <c r="F48" s="65"/>
      <c r="G48" s="64"/>
      <c r="H48" s="64"/>
      <c r="I48" s="64"/>
      <c r="J48" s="64"/>
      <c r="K48" s="64"/>
      <c r="L48" s="64"/>
      <c r="M48" s="64"/>
      <c r="N48" s="64"/>
      <c r="O48" s="64"/>
      <c r="P48" s="64"/>
    </row>
    <row r="49" spans="1:16" ht="16.5" x14ac:dyDescent="0.2">
      <c r="A49" s="115">
        <f>IF(D49="","",COUNTIF(B$13:$B49,"l.c"))</f>
        <v>33</v>
      </c>
      <c r="B49" s="115" t="str">
        <f t="shared" si="2"/>
        <v>l.c</v>
      </c>
      <c r="C49" s="139" t="s">
        <v>344</v>
      </c>
      <c r="D49" s="140" t="s">
        <v>107</v>
      </c>
      <c r="E49" s="140">
        <v>1</v>
      </c>
      <c r="F49" s="65"/>
      <c r="G49" s="64"/>
      <c r="H49" s="64"/>
      <c r="I49" s="64"/>
      <c r="J49" s="64"/>
      <c r="K49" s="64"/>
      <c r="L49" s="64"/>
      <c r="M49" s="64"/>
      <c r="N49" s="64"/>
      <c r="O49" s="64"/>
      <c r="P49" s="64"/>
    </row>
    <row r="50" spans="1:16" ht="16.5" x14ac:dyDescent="0.2">
      <c r="A50" s="115">
        <f>IF(D50="","",COUNTIF(B$13:$B50,"l.c"))</f>
        <v>34</v>
      </c>
      <c r="B50" s="115" t="str">
        <f t="shared" si="2"/>
        <v>l.c</v>
      </c>
      <c r="C50" s="139" t="s">
        <v>345</v>
      </c>
      <c r="D50" s="140" t="s">
        <v>107</v>
      </c>
      <c r="E50" s="140">
        <v>1</v>
      </c>
      <c r="F50" s="65"/>
      <c r="G50" s="64"/>
      <c r="H50" s="64"/>
      <c r="I50" s="64"/>
      <c r="J50" s="64"/>
      <c r="K50" s="64"/>
      <c r="L50" s="64"/>
      <c r="M50" s="64"/>
      <c r="N50" s="64"/>
      <c r="O50" s="64"/>
      <c r="P50" s="64"/>
    </row>
    <row r="51" spans="1:16" x14ac:dyDescent="0.2">
      <c r="A51" s="59"/>
      <c r="B51" s="195"/>
      <c r="C51" s="83"/>
      <c r="D51" s="59"/>
      <c r="E51" s="59"/>
      <c r="F51" s="65"/>
      <c r="G51" s="65"/>
      <c r="H51" s="65"/>
      <c r="I51" s="65"/>
      <c r="J51" s="65"/>
      <c r="K51" s="65"/>
      <c r="L51" s="65"/>
      <c r="M51" s="65"/>
      <c r="N51" s="65"/>
      <c r="O51" s="65"/>
      <c r="P51" s="65"/>
    </row>
    <row r="52" spans="1:16" x14ac:dyDescent="0.2">
      <c r="A52" s="71"/>
      <c r="B52" s="212" t="s">
        <v>86</v>
      </c>
      <c r="C52" s="212"/>
      <c r="D52" s="212"/>
      <c r="E52" s="212"/>
      <c r="F52" s="212"/>
      <c r="G52" s="212"/>
      <c r="H52" s="212"/>
      <c r="I52" s="212"/>
      <c r="J52" s="212"/>
      <c r="K52" s="212"/>
      <c r="L52" s="66">
        <f>SUM(L15:L51)</f>
        <v>0</v>
      </c>
      <c r="M52" s="66">
        <f>SUM(M15:M51)</f>
        <v>0</v>
      </c>
      <c r="N52" s="66">
        <f>SUM(N15:N51)</f>
        <v>0</v>
      </c>
      <c r="O52" s="66">
        <f>SUM(O15:O51)</f>
        <v>0</v>
      </c>
      <c r="P52" s="66">
        <f>SUM(P15:P51)</f>
        <v>0</v>
      </c>
    </row>
    <row r="53" spans="1:16" x14ac:dyDescent="0.2">
      <c r="A53" s="5"/>
      <c r="B53" s="5"/>
      <c r="C53" s="9"/>
      <c r="D53" s="5"/>
      <c r="E53" s="5"/>
      <c r="F53" s="5"/>
      <c r="G53" s="5"/>
      <c r="H53" s="5"/>
      <c r="I53" s="5"/>
      <c r="J53" s="5"/>
      <c r="K53" s="5"/>
      <c r="L53" s="5"/>
      <c r="M53" s="5"/>
      <c r="N53" s="5"/>
      <c r="O53" s="5"/>
      <c r="P53" s="5"/>
    </row>
    <row r="54" spans="1:16" x14ac:dyDescent="0.2">
      <c r="A54" s="5"/>
      <c r="B54" s="5"/>
      <c r="C54" s="9"/>
      <c r="D54" s="5"/>
      <c r="E54" s="5"/>
      <c r="F54" s="5"/>
      <c r="G54" s="5"/>
      <c r="H54" s="5"/>
      <c r="I54" s="5"/>
      <c r="J54" s="5"/>
      <c r="K54" s="5"/>
      <c r="L54" s="5"/>
      <c r="M54" s="5"/>
      <c r="N54" s="5"/>
      <c r="O54" s="5"/>
      <c r="P54" s="5"/>
    </row>
    <row r="55" spans="1:16" x14ac:dyDescent="0.2">
      <c r="A55" s="20" t="s">
        <v>9</v>
      </c>
      <c r="B55" s="19"/>
      <c r="C55" s="19"/>
      <c r="D55" s="19"/>
      <c r="E55" s="19"/>
      <c r="F55" s="19"/>
      <c r="G55" s="20"/>
      <c r="H55" s="19"/>
      <c r="I55" s="19"/>
      <c r="J55" s="19"/>
      <c r="K55" s="19"/>
      <c r="L55" s="19"/>
      <c r="M55" s="68"/>
      <c r="N55" s="68"/>
      <c r="O55" s="68"/>
      <c r="P55" s="26"/>
    </row>
    <row r="56" spans="1:16" ht="11.45" customHeight="1" x14ac:dyDescent="0.2">
      <c r="A56" s="20"/>
      <c r="B56" s="202" t="s">
        <v>10</v>
      </c>
      <c r="C56" s="202"/>
      <c r="D56" s="202"/>
      <c r="E56" s="202"/>
      <c r="F56" s="202"/>
      <c r="G56" s="20"/>
      <c r="H56" s="217"/>
      <c r="I56" s="217"/>
      <c r="J56" s="217"/>
      <c r="K56" s="217"/>
      <c r="L56" s="217"/>
      <c r="M56" s="5"/>
      <c r="N56" s="5"/>
      <c r="O56" s="5"/>
      <c r="P56" s="5"/>
    </row>
    <row r="57" spans="1:16" x14ac:dyDescent="0.2">
      <c r="A57" s="20"/>
      <c r="B57" s="69"/>
      <c r="C57" s="69"/>
      <c r="D57" s="69"/>
      <c r="E57" s="69"/>
      <c r="F57" s="69"/>
      <c r="G57" s="20"/>
      <c r="H57" s="69"/>
      <c r="I57" s="69"/>
      <c r="J57" s="69"/>
      <c r="K57" s="69"/>
      <c r="L57" s="69"/>
      <c r="M57" s="5"/>
      <c r="N57" s="5"/>
      <c r="O57" s="5"/>
      <c r="P57" s="5"/>
    </row>
    <row r="58" spans="1:16" x14ac:dyDescent="0.2">
      <c r="A58" s="5" t="str">
        <f>'1-1.DOP'!$A$40</f>
        <v xml:space="preserve">Tāme sastādīta: </v>
      </c>
      <c r="B58" s="4"/>
      <c r="C58" s="5"/>
      <c r="D58" s="5"/>
      <c r="E58" s="5"/>
      <c r="F58" s="5"/>
      <c r="G58" s="5"/>
      <c r="H58" s="5"/>
      <c r="I58" s="5"/>
      <c r="J58" s="5"/>
      <c r="K58" s="5"/>
      <c r="L58" s="5"/>
      <c r="M58" s="5"/>
      <c r="N58" s="5"/>
      <c r="O58" s="5"/>
      <c r="P58" s="5"/>
    </row>
    <row r="59" spans="1:16" x14ac:dyDescent="0.2">
      <c r="A59" s="4"/>
      <c r="B59" s="4"/>
      <c r="C59" s="5"/>
      <c r="D59" s="5"/>
      <c r="E59" s="5"/>
      <c r="F59" s="5"/>
      <c r="G59" s="5"/>
      <c r="H59" s="5"/>
      <c r="I59" s="5"/>
      <c r="J59" s="5"/>
      <c r="K59" s="5"/>
      <c r="L59" s="5"/>
      <c r="M59" s="5"/>
      <c r="N59" s="5"/>
      <c r="O59" s="5"/>
      <c r="P59" s="5"/>
    </row>
    <row r="60" spans="1:16" x14ac:dyDescent="0.2">
      <c r="A60" s="20" t="s">
        <v>87</v>
      </c>
      <c r="B60" s="19"/>
      <c r="C60" s="19"/>
      <c r="D60" s="19"/>
      <c r="E60" s="19"/>
      <c r="F60" s="19"/>
      <c r="G60" s="68"/>
      <c r="H60" s="68"/>
      <c r="I60" s="68"/>
      <c r="J60" s="26"/>
      <c r="K60" s="5"/>
      <c r="L60" s="5"/>
      <c r="M60" s="5"/>
      <c r="N60" s="5"/>
      <c r="O60" s="5"/>
      <c r="P60" s="5"/>
    </row>
    <row r="61" spans="1:16" ht="11.45" customHeight="1" x14ac:dyDescent="0.2">
      <c r="A61" s="20"/>
      <c r="B61" s="217" t="s">
        <v>10</v>
      </c>
      <c r="C61" s="217"/>
      <c r="D61" s="217"/>
      <c r="E61" s="217"/>
      <c r="F61" s="217"/>
      <c r="G61" s="5"/>
      <c r="H61" s="5"/>
      <c r="I61" s="5"/>
      <c r="J61" s="5"/>
      <c r="K61" s="5"/>
      <c r="L61" s="5"/>
      <c r="M61" s="5"/>
      <c r="N61" s="5"/>
      <c r="O61" s="5"/>
      <c r="P61" s="5"/>
    </row>
    <row r="62" spans="1:16" x14ac:dyDescent="0.2">
      <c r="A62" s="4"/>
      <c r="B62" s="4"/>
      <c r="C62" s="5"/>
      <c r="D62" s="5"/>
      <c r="E62" s="5"/>
      <c r="F62" s="5"/>
      <c r="G62" s="5"/>
      <c r="H62" s="5"/>
      <c r="I62" s="5"/>
      <c r="J62" s="5"/>
      <c r="K62" s="5"/>
      <c r="L62" s="5"/>
      <c r="M62" s="5"/>
      <c r="N62" s="5"/>
      <c r="O62" s="5"/>
      <c r="P62" s="5"/>
    </row>
    <row r="63" spans="1:16" x14ac:dyDescent="0.2">
      <c r="A63" s="20" t="s">
        <v>11</v>
      </c>
      <c r="B63" s="20"/>
      <c r="C63" s="4"/>
      <c r="D63" s="5"/>
      <c r="E63" s="5"/>
      <c r="F63" s="5"/>
      <c r="G63" s="5"/>
      <c r="H63" s="5"/>
      <c r="I63" s="5"/>
      <c r="J63" s="5"/>
      <c r="K63" s="5"/>
      <c r="L63" s="5"/>
      <c r="M63" s="5"/>
      <c r="N63" s="5"/>
      <c r="O63" s="5"/>
      <c r="P63" s="5"/>
    </row>
    <row r="64" spans="1:16" x14ac:dyDescent="0.2">
      <c r="A64" s="5"/>
      <c r="B64" s="5"/>
      <c r="C64" s="5"/>
      <c r="D64" s="5"/>
      <c r="E64" s="5"/>
      <c r="F64" s="5"/>
      <c r="G64" s="5"/>
      <c r="H64" s="5"/>
      <c r="I64" s="5"/>
      <c r="J64" s="5"/>
      <c r="K64" s="5"/>
      <c r="L64" s="5"/>
      <c r="M64" s="5"/>
      <c r="N64" s="5"/>
      <c r="O64" s="5"/>
      <c r="P64" s="5"/>
    </row>
    <row r="65" spans="1:16" x14ac:dyDescent="0.2">
      <c r="A65" s="5"/>
      <c r="B65" s="5"/>
      <c r="C65" s="5"/>
      <c r="D65" s="5"/>
      <c r="E65" s="5"/>
      <c r="F65" s="5"/>
      <c r="G65" s="5"/>
      <c r="H65" s="5"/>
      <c r="I65" s="5"/>
      <c r="J65" s="5"/>
      <c r="K65" s="5"/>
      <c r="L65" s="5"/>
      <c r="M65" s="5"/>
      <c r="N65" s="5"/>
      <c r="O65" s="5"/>
      <c r="P65" s="5"/>
    </row>
    <row r="66" spans="1:16" x14ac:dyDescent="0.2">
      <c r="A66" s="213" t="s">
        <v>12</v>
      </c>
      <c r="B66" s="213"/>
      <c r="C66" s="213"/>
      <c r="D66" s="213"/>
      <c r="E66" s="213"/>
      <c r="F66" s="213"/>
      <c r="G66" s="213"/>
      <c r="H66" s="213"/>
      <c r="I66" s="213"/>
      <c r="J66" s="213"/>
      <c r="K66" s="213"/>
      <c r="L66" s="213"/>
      <c r="M66" s="213"/>
      <c r="N66" s="213"/>
      <c r="O66" s="213"/>
      <c r="P66" s="213"/>
    </row>
  </sheetData>
  <sheetProtection selectLockedCells="1" selectUnlockedCells="1"/>
  <mergeCells count="18">
    <mergeCell ref="A7:F7"/>
    <mergeCell ref="A1:P1"/>
    <mergeCell ref="A2:P2"/>
    <mergeCell ref="A3:P3"/>
    <mergeCell ref="A5:F5"/>
    <mergeCell ref="A6:F6"/>
    <mergeCell ref="A66:P66"/>
    <mergeCell ref="A11:A12"/>
    <mergeCell ref="B11:B12"/>
    <mergeCell ref="C11:C12"/>
    <mergeCell ref="D11:D12"/>
    <mergeCell ref="E11:E12"/>
    <mergeCell ref="F11:K11"/>
    <mergeCell ref="L11:P11"/>
    <mergeCell ref="B52:K52"/>
    <mergeCell ref="B56:F56"/>
    <mergeCell ref="H56:L56"/>
    <mergeCell ref="B61:F61"/>
  </mergeCells>
  <printOptions horizontalCentered="1"/>
  <pageMargins left="0.78749999999999998" right="0.39374999999999999" top="1.1812499999999999" bottom="0.39374999999999999" header="0.51180555555555551" footer="0.51180555555555551"/>
  <pageSetup paperSize="9" scale="74" firstPageNumber="0" orientation="landscape"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D4973-3E97-4FB4-8690-F6BA4B875ABA}">
  <dimension ref="A1:Q90"/>
  <sheetViews>
    <sheetView showZeros="0" workbookViewId="0">
      <selection activeCell="F72" sqref="F72"/>
    </sheetView>
  </sheetViews>
  <sheetFormatPr defaultColWidth="8.85546875" defaultRowHeight="12" x14ac:dyDescent="0.2"/>
  <cols>
    <col min="1" max="1" width="5.85546875" style="1" customWidth="1"/>
    <col min="2" max="2" width="5.85546875" style="45" customWidth="1"/>
    <col min="3" max="3" width="41" style="45" customWidth="1"/>
    <col min="4" max="5" width="8.85546875" style="45"/>
    <col min="6" max="11" width="8.85546875" style="1"/>
    <col min="12" max="16" width="11.85546875" style="1" customWidth="1"/>
    <col min="17" max="16384" width="8.85546875" style="1"/>
  </cols>
  <sheetData>
    <row r="1" spans="1:17" x14ac:dyDescent="0.2">
      <c r="A1" s="199" t="s">
        <v>346</v>
      </c>
      <c r="B1" s="199"/>
      <c r="C1" s="199"/>
      <c r="D1" s="199"/>
      <c r="E1" s="199"/>
      <c r="F1" s="199"/>
      <c r="G1" s="199"/>
      <c r="H1" s="199"/>
      <c r="I1" s="199"/>
      <c r="J1" s="199"/>
      <c r="K1" s="199"/>
      <c r="L1" s="199"/>
      <c r="M1" s="199"/>
      <c r="N1" s="199"/>
      <c r="O1" s="199"/>
      <c r="P1" s="199"/>
      <c r="Q1" s="199"/>
    </row>
    <row r="2" spans="1:17" x14ac:dyDescent="0.2">
      <c r="A2" s="199" t="s">
        <v>38</v>
      </c>
      <c r="B2" s="199"/>
      <c r="C2" s="199"/>
      <c r="D2" s="199"/>
      <c r="E2" s="199"/>
      <c r="F2" s="199"/>
      <c r="G2" s="199"/>
      <c r="H2" s="199"/>
      <c r="I2" s="199"/>
      <c r="J2" s="199"/>
      <c r="K2" s="199"/>
      <c r="L2" s="199"/>
      <c r="M2" s="199"/>
      <c r="N2" s="199"/>
      <c r="O2" s="199"/>
      <c r="P2" s="199"/>
      <c r="Q2" s="199"/>
    </row>
    <row r="3" spans="1:17" x14ac:dyDescent="0.2">
      <c r="A3" s="213" t="s">
        <v>46</v>
      </c>
      <c r="B3" s="213"/>
      <c r="C3" s="213"/>
      <c r="D3" s="213"/>
      <c r="E3" s="213"/>
      <c r="F3" s="213"/>
      <c r="G3" s="213"/>
      <c r="H3" s="213"/>
      <c r="I3" s="213"/>
      <c r="J3" s="213"/>
      <c r="K3" s="213"/>
      <c r="L3" s="213"/>
      <c r="M3" s="213"/>
      <c r="N3" s="213"/>
      <c r="O3" s="213"/>
      <c r="P3" s="213"/>
    </row>
    <row r="4" spans="1:17" x14ac:dyDescent="0.2">
      <c r="A4" s="70"/>
      <c r="B4" s="48"/>
      <c r="C4" s="48"/>
      <c r="D4" s="49"/>
      <c r="E4" s="49"/>
      <c r="F4" s="7"/>
      <c r="G4" s="7"/>
      <c r="H4" s="2"/>
      <c r="I4" s="7"/>
      <c r="J4" s="7"/>
      <c r="K4" s="7"/>
      <c r="L4" s="7"/>
      <c r="M4" s="7"/>
      <c r="N4" s="7"/>
      <c r="O4" s="7"/>
    </row>
    <row r="5" spans="1:17" ht="21" customHeight="1" x14ac:dyDescent="0.2">
      <c r="A5" s="210" t="str">
        <f>Koptāme!$A$11</f>
        <v>Objekta nosaukums: Slaucamo govju kūts jaunbūve īpašumā
"Vecsašava"</v>
      </c>
      <c r="B5" s="210"/>
      <c r="C5" s="210"/>
      <c r="D5" s="210"/>
      <c r="E5" s="210"/>
      <c r="F5" s="210"/>
      <c r="G5" s="51"/>
      <c r="H5" s="51"/>
      <c r="I5" s="51"/>
      <c r="J5" s="51"/>
      <c r="K5" s="51"/>
      <c r="L5" s="51"/>
      <c r="M5" s="51"/>
      <c r="N5" s="51"/>
      <c r="O5" s="51"/>
    </row>
    <row r="6" spans="1:17" ht="21" customHeight="1" x14ac:dyDescent="0.2">
      <c r="A6" s="210" t="str">
        <f>Koptāme!$A$12</f>
        <v>Objekta adrese: Īpašums "Vecsašava", Mālupes pagasts,
Alūksnes novads</v>
      </c>
      <c r="B6" s="210"/>
      <c r="C6" s="210"/>
      <c r="D6" s="210"/>
      <c r="E6" s="210"/>
      <c r="F6" s="210"/>
      <c r="G6" s="7"/>
      <c r="H6" s="2"/>
      <c r="I6" s="7"/>
      <c r="J6" s="7"/>
      <c r="K6" s="7"/>
      <c r="L6" s="7"/>
      <c r="M6" s="7"/>
      <c r="N6" s="7"/>
      <c r="O6" s="7"/>
    </row>
    <row r="7" spans="1:17" ht="14.25" customHeight="1" x14ac:dyDescent="0.2">
      <c r="A7" s="210" t="str">
        <f>Koptāme!$A$13</f>
        <v>Pasūtītājs: Z/S "Jaunceriņi"</v>
      </c>
      <c r="B7" s="210"/>
      <c r="C7" s="210"/>
      <c r="D7" s="210"/>
      <c r="E7" s="210"/>
      <c r="F7" s="210"/>
      <c r="G7" s="7"/>
      <c r="H7" s="2"/>
      <c r="I7" s="7"/>
      <c r="J7" s="7"/>
      <c r="K7" s="7"/>
      <c r="L7" s="7"/>
      <c r="M7" s="7"/>
      <c r="N7" s="7"/>
      <c r="O7" s="7"/>
    </row>
    <row r="8" spans="1:17" x14ac:dyDescent="0.2">
      <c r="A8" s="49"/>
      <c r="B8" s="47"/>
      <c r="C8" s="49"/>
      <c r="D8" s="52"/>
      <c r="E8" s="52"/>
      <c r="F8" s="52"/>
      <c r="G8" s="52"/>
      <c r="H8" s="52"/>
      <c r="I8" s="52"/>
      <c r="J8" s="52"/>
      <c r="K8" s="52"/>
      <c r="L8" s="52"/>
      <c r="M8" s="52"/>
      <c r="N8" s="52"/>
      <c r="O8" s="54" t="s">
        <v>47</v>
      </c>
      <c r="P8" s="55">
        <f>P76</f>
        <v>0</v>
      </c>
    </row>
    <row r="9" spans="1:17" x14ac:dyDescent="0.2">
      <c r="A9" s="49"/>
      <c r="B9" s="47"/>
      <c r="C9" s="49"/>
      <c r="D9" s="52"/>
      <c r="E9" s="52"/>
      <c r="F9" s="52"/>
      <c r="G9" s="52"/>
      <c r="H9" s="52"/>
      <c r="I9" s="52"/>
      <c r="J9" s="52"/>
      <c r="K9" s="52"/>
      <c r="L9" s="52"/>
      <c r="M9" s="52"/>
      <c r="N9" s="134" t="str">
        <f>'1-1.DOP'!$N$9</f>
        <v xml:space="preserve">Tāme sastādīta: </v>
      </c>
      <c r="O9" s="57"/>
      <c r="P9" s="52"/>
    </row>
    <row r="11" spans="1:17" ht="12.75" customHeight="1" x14ac:dyDescent="0.2">
      <c r="A11" s="214" t="s">
        <v>48</v>
      </c>
      <c r="B11" s="215" t="s">
        <v>49</v>
      </c>
      <c r="C11" s="214" t="s">
        <v>50</v>
      </c>
      <c r="D11" s="214" t="s">
        <v>51</v>
      </c>
      <c r="E11" s="214" t="s">
        <v>52</v>
      </c>
      <c r="F11" s="211" t="s">
        <v>53</v>
      </c>
      <c r="G11" s="211"/>
      <c r="H11" s="211"/>
      <c r="I11" s="211"/>
      <c r="J11" s="211"/>
      <c r="K11" s="211"/>
      <c r="L11" s="211" t="s">
        <v>54</v>
      </c>
      <c r="M11" s="211"/>
      <c r="N11" s="211"/>
      <c r="O11" s="211"/>
      <c r="P11" s="211"/>
    </row>
    <row r="12" spans="1:17" ht="48" x14ac:dyDescent="0.2">
      <c r="A12" s="214"/>
      <c r="B12" s="215"/>
      <c r="C12" s="214"/>
      <c r="D12" s="214"/>
      <c r="E12" s="214"/>
      <c r="F12" s="194" t="s">
        <v>55</v>
      </c>
      <c r="G12" s="194" t="s">
        <v>89</v>
      </c>
      <c r="H12" s="194" t="s">
        <v>57</v>
      </c>
      <c r="I12" s="194" t="s">
        <v>23</v>
      </c>
      <c r="J12" s="194" t="s">
        <v>58</v>
      </c>
      <c r="K12" s="194" t="s">
        <v>59</v>
      </c>
      <c r="L12" s="194" t="s">
        <v>60</v>
      </c>
      <c r="M12" s="194" t="s">
        <v>57</v>
      </c>
      <c r="N12" s="194" t="s">
        <v>23</v>
      </c>
      <c r="O12" s="194" t="s">
        <v>58</v>
      </c>
      <c r="P12" s="194" t="s">
        <v>61</v>
      </c>
    </row>
    <row r="13" spans="1:17" x14ac:dyDescent="0.2">
      <c r="A13" s="194">
        <v>1</v>
      </c>
      <c r="B13" s="194">
        <v>2</v>
      </c>
      <c r="C13" s="194">
        <v>3</v>
      </c>
      <c r="D13" s="194">
        <v>3</v>
      </c>
      <c r="E13" s="194">
        <v>3</v>
      </c>
      <c r="F13" s="194">
        <v>3</v>
      </c>
      <c r="G13" s="194">
        <v>3</v>
      </c>
      <c r="H13" s="194">
        <v>3</v>
      </c>
      <c r="I13" s="194">
        <v>3</v>
      </c>
      <c r="J13" s="194">
        <v>3</v>
      </c>
      <c r="K13" s="194">
        <v>3</v>
      </c>
      <c r="L13" s="194">
        <v>3</v>
      </c>
      <c r="M13" s="194">
        <v>3</v>
      </c>
      <c r="N13" s="194">
        <v>3</v>
      </c>
      <c r="O13" s="194">
        <v>3</v>
      </c>
      <c r="P13" s="194">
        <v>3</v>
      </c>
    </row>
    <row r="14" spans="1:17" ht="12.75" x14ac:dyDescent="0.2">
      <c r="A14" s="59"/>
      <c r="B14" s="59"/>
      <c r="C14" s="142" t="s">
        <v>347</v>
      </c>
      <c r="D14" s="143"/>
      <c r="E14" s="143"/>
      <c r="F14" s="65"/>
      <c r="G14" s="65"/>
      <c r="H14" s="65"/>
      <c r="I14" s="65"/>
      <c r="J14" s="65"/>
      <c r="K14" s="65"/>
      <c r="L14" s="65"/>
      <c r="M14" s="65"/>
      <c r="N14" s="65"/>
      <c r="O14" s="65"/>
      <c r="P14" s="65"/>
    </row>
    <row r="15" spans="1:17" ht="25.5" x14ac:dyDescent="0.2">
      <c r="A15" s="115">
        <f>IF(D15="","",COUNTIF(B$13:$B15,"l.c"))</f>
        <v>1</v>
      </c>
      <c r="B15" s="115" t="str">
        <f t="shared" ref="B15:B16" si="0">IF(D15="","","l.c")</f>
        <v>l.c</v>
      </c>
      <c r="C15" s="144" t="s">
        <v>348</v>
      </c>
      <c r="D15" s="145" t="s">
        <v>65</v>
      </c>
      <c r="E15" s="146">
        <v>68</v>
      </c>
      <c r="F15" s="64"/>
      <c r="G15" s="64"/>
      <c r="H15" s="64"/>
      <c r="I15" s="64"/>
      <c r="J15" s="64"/>
      <c r="K15" s="64"/>
      <c r="L15" s="64"/>
      <c r="M15" s="64"/>
      <c r="N15" s="64"/>
      <c r="O15" s="64"/>
      <c r="P15" s="64"/>
    </row>
    <row r="16" spans="1:17" ht="25.5" x14ac:dyDescent="0.2">
      <c r="A16" s="115">
        <f>IF(D16="","",COUNTIF(B$13:$B16,"l.c"))</f>
        <v>2</v>
      </c>
      <c r="B16" s="115" t="str">
        <f t="shared" si="0"/>
        <v>l.c</v>
      </c>
      <c r="C16" s="144" t="s">
        <v>349</v>
      </c>
      <c r="D16" s="145" t="s">
        <v>65</v>
      </c>
      <c r="E16" s="146">
        <v>8</v>
      </c>
      <c r="F16" s="64"/>
      <c r="G16" s="64"/>
      <c r="H16" s="64"/>
      <c r="I16" s="64"/>
      <c r="J16" s="64"/>
      <c r="K16" s="64"/>
      <c r="L16" s="64"/>
      <c r="M16" s="64"/>
      <c r="N16" s="64"/>
      <c r="O16" s="64"/>
      <c r="P16" s="64"/>
    </row>
    <row r="17" spans="1:16" ht="38.25" x14ac:dyDescent="0.2">
      <c r="A17" s="115">
        <f>IF(D17="","",COUNTIF(B$13:$B17,"l.c"))</f>
        <v>3</v>
      </c>
      <c r="B17" s="115" t="str">
        <f t="shared" ref="B17:B50" si="1">IF(D17="","","l.c")</f>
        <v>l.c</v>
      </c>
      <c r="C17" s="144" t="s">
        <v>350</v>
      </c>
      <c r="D17" s="145" t="s">
        <v>65</v>
      </c>
      <c r="E17" s="146">
        <v>70</v>
      </c>
      <c r="F17" s="64"/>
      <c r="G17" s="64"/>
      <c r="H17" s="64"/>
      <c r="I17" s="64"/>
      <c r="J17" s="64"/>
      <c r="K17" s="64"/>
      <c r="L17" s="64"/>
      <c r="M17" s="64"/>
      <c r="N17" s="64"/>
      <c r="O17" s="64"/>
      <c r="P17" s="64"/>
    </row>
    <row r="18" spans="1:16" ht="38.25" x14ac:dyDescent="0.2">
      <c r="A18" s="115">
        <f>IF(D18="","",COUNTIF(B$13:$B18,"l.c"))</f>
        <v>4</v>
      </c>
      <c r="B18" s="115" t="str">
        <f t="shared" si="1"/>
        <v>l.c</v>
      </c>
      <c r="C18" s="144" t="s">
        <v>351</v>
      </c>
      <c r="D18" s="145" t="s">
        <v>65</v>
      </c>
      <c r="E18" s="146">
        <v>16</v>
      </c>
      <c r="F18" s="64"/>
      <c r="G18" s="64"/>
      <c r="H18" s="64"/>
      <c r="I18" s="64"/>
      <c r="J18" s="64"/>
      <c r="K18" s="64"/>
      <c r="L18" s="64"/>
      <c r="M18" s="64"/>
      <c r="N18" s="64"/>
      <c r="O18" s="64"/>
      <c r="P18" s="64"/>
    </row>
    <row r="19" spans="1:16" ht="38.25" x14ac:dyDescent="0.2">
      <c r="A19" s="115">
        <f>IF(D19="","",COUNTIF(B$13:$B19,"l.c"))</f>
        <v>5</v>
      </c>
      <c r="B19" s="115" t="str">
        <f t="shared" si="1"/>
        <v>l.c</v>
      </c>
      <c r="C19" s="144" t="s">
        <v>352</v>
      </c>
      <c r="D19" s="145" t="s">
        <v>65</v>
      </c>
      <c r="E19" s="146">
        <v>4</v>
      </c>
      <c r="F19" s="64"/>
      <c r="G19" s="64"/>
      <c r="H19" s="64"/>
      <c r="I19" s="64"/>
      <c r="J19" s="64"/>
      <c r="K19" s="64"/>
      <c r="L19" s="64"/>
      <c r="M19" s="64"/>
      <c r="N19" s="64"/>
      <c r="O19" s="64"/>
      <c r="P19" s="64"/>
    </row>
    <row r="20" spans="1:16" ht="38.25" x14ac:dyDescent="0.2">
      <c r="A20" s="115">
        <f>IF(D20="","",COUNTIF(B$13:$B20,"l.c"))</f>
        <v>6</v>
      </c>
      <c r="B20" s="115" t="str">
        <f t="shared" si="1"/>
        <v>l.c</v>
      </c>
      <c r="C20" s="144" t="s">
        <v>353</v>
      </c>
      <c r="D20" s="145" t="s">
        <v>65</v>
      </c>
      <c r="E20" s="146">
        <v>12</v>
      </c>
      <c r="F20" s="64"/>
      <c r="G20" s="64"/>
      <c r="H20" s="64"/>
      <c r="I20" s="64"/>
      <c r="J20" s="64"/>
      <c r="K20" s="64"/>
      <c r="L20" s="64"/>
      <c r="M20" s="64"/>
      <c r="N20" s="64"/>
      <c r="O20" s="64"/>
      <c r="P20" s="64"/>
    </row>
    <row r="21" spans="1:16" ht="25.5" x14ac:dyDescent="0.2">
      <c r="A21" s="115">
        <f>IF(D21="","",COUNTIF(B$13:$B21,"l.c"))</f>
        <v>7</v>
      </c>
      <c r="B21" s="115" t="str">
        <f t="shared" si="1"/>
        <v>l.c</v>
      </c>
      <c r="C21" s="147" t="s">
        <v>354</v>
      </c>
      <c r="D21" s="148" t="s">
        <v>65</v>
      </c>
      <c r="E21" s="148" t="s">
        <v>355</v>
      </c>
      <c r="F21" s="64"/>
      <c r="G21" s="64"/>
      <c r="H21" s="64"/>
      <c r="I21" s="64"/>
      <c r="J21" s="64"/>
      <c r="K21" s="64"/>
      <c r="L21" s="64"/>
      <c r="M21" s="64"/>
      <c r="N21" s="64"/>
      <c r="O21" s="64"/>
      <c r="P21" s="64"/>
    </row>
    <row r="22" spans="1:16" ht="25.5" x14ac:dyDescent="0.2">
      <c r="A22" s="115">
        <f>IF(D22="","",COUNTIF(B$13:$B22,"l.c"))</f>
        <v>8</v>
      </c>
      <c r="B22" s="115" t="str">
        <f t="shared" si="1"/>
        <v>l.c</v>
      </c>
      <c r="C22" s="147" t="s">
        <v>356</v>
      </c>
      <c r="D22" s="148" t="s">
        <v>65</v>
      </c>
      <c r="E22" s="148" t="s">
        <v>357</v>
      </c>
      <c r="F22" s="64"/>
      <c r="G22" s="64"/>
      <c r="H22" s="64"/>
      <c r="I22" s="64"/>
      <c r="J22" s="64"/>
      <c r="K22" s="64"/>
      <c r="L22" s="64"/>
      <c r="M22" s="64"/>
      <c r="N22" s="64"/>
      <c r="O22" s="64"/>
      <c r="P22" s="64"/>
    </row>
    <row r="23" spans="1:16" ht="25.5" x14ac:dyDescent="0.2">
      <c r="A23" s="115">
        <f>IF(D23="","",COUNTIF(B$13:$B23,"l.c"))</f>
        <v>9</v>
      </c>
      <c r="B23" s="115" t="str">
        <f t="shared" si="1"/>
        <v>l.c</v>
      </c>
      <c r="C23" s="147" t="s">
        <v>358</v>
      </c>
      <c r="D23" s="148" t="s">
        <v>65</v>
      </c>
      <c r="E23" s="149">
        <v>2</v>
      </c>
      <c r="F23" s="64"/>
      <c r="G23" s="64"/>
      <c r="H23" s="64"/>
      <c r="I23" s="64"/>
      <c r="J23" s="64"/>
      <c r="K23" s="64"/>
      <c r="L23" s="64"/>
      <c r="M23" s="64"/>
      <c r="N23" s="64"/>
      <c r="O23" s="64"/>
      <c r="P23" s="64"/>
    </row>
    <row r="24" spans="1:16" ht="25.5" x14ac:dyDescent="0.2">
      <c r="A24" s="115">
        <f>IF(D24="","",COUNTIF(B$13:$B24,"l.c"))</f>
        <v>10</v>
      </c>
      <c r="B24" s="115" t="str">
        <f t="shared" si="1"/>
        <v>l.c</v>
      </c>
      <c r="C24" s="147" t="s">
        <v>359</v>
      </c>
      <c r="D24" s="148" t="s">
        <v>65</v>
      </c>
      <c r="E24" s="148" t="s">
        <v>360</v>
      </c>
      <c r="F24" s="64"/>
      <c r="G24" s="64"/>
      <c r="H24" s="64"/>
      <c r="I24" s="64"/>
      <c r="J24" s="64"/>
      <c r="K24" s="64"/>
      <c r="L24" s="64"/>
      <c r="M24" s="64"/>
      <c r="N24" s="64"/>
      <c r="O24" s="64"/>
      <c r="P24" s="64"/>
    </row>
    <row r="25" spans="1:16" ht="25.5" x14ac:dyDescent="0.2">
      <c r="A25" s="115">
        <f>IF(D25="","",COUNTIF(B$13:$B25,"l.c"))</f>
        <v>11</v>
      </c>
      <c r="B25" s="115" t="str">
        <f t="shared" si="1"/>
        <v>l.c</v>
      </c>
      <c r="C25" s="150" t="s">
        <v>361</v>
      </c>
      <c r="D25" s="145" t="s">
        <v>65</v>
      </c>
      <c r="E25" s="151">
        <v>14</v>
      </c>
      <c r="F25" s="64"/>
      <c r="G25" s="64"/>
      <c r="H25" s="64"/>
      <c r="I25" s="64"/>
      <c r="J25" s="64"/>
      <c r="K25" s="64"/>
      <c r="L25" s="64"/>
      <c r="M25" s="64"/>
      <c r="N25" s="64"/>
      <c r="O25" s="64"/>
      <c r="P25" s="64"/>
    </row>
    <row r="26" spans="1:16" ht="25.5" x14ac:dyDescent="0.2">
      <c r="A26" s="115">
        <f>IF(D26="","",COUNTIF(B$13:$B26,"l.c"))</f>
        <v>12</v>
      </c>
      <c r="B26" s="115" t="str">
        <f t="shared" si="1"/>
        <v>l.c</v>
      </c>
      <c r="C26" s="150" t="s">
        <v>362</v>
      </c>
      <c r="D26" s="145" t="s">
        <v>65</v>
      </c>
      <c r="E26" s="151">
        <v>10</v>
      </c>
      <c r="F26" s="64"/>
      <c r="G26" s="64"/>
      <c r="H26" s="64"/>
      <c r="I26" s="64"/>
      <c r="J26" s="64"/>
      <c r="K26" s="64"/>
      <c r="L26" s="64"/>
      <c r="M26" s="64"/>
      <c r="N26" s="64"/>
      <c r="O26" s="64"/>
      <c r="P26" s="64"/>
    </row>
    <row r="27" spans="1:16" ht="25.5" x14ac:dyDescent="0.2">
      <c r="A27" s="115">
        <f>IF(D27="","",COUNTIF(B$13:$B27,"l.c"))</f>
        <v>13</v>
      </c>
      <c r="B27" s="115" t="str">
        <f t="shared" si="1"/>
        <v>l.c</v>
      </c>
      <c r="C27" s="150" t="s">
        <v>363</v>
      </c>
      <c r="D27" s="145" t="s">
        <v>65</v>
      </c>
      <c r="E27" s="151">
        <v>2</v>
      </c>
      <c r="F27" s="64"/>
      <c r="G27" s="64"/>
      <c r="H27" s="64"/>
      <c r="I27" s="64"/>
      <c r="J27" s="64"/>
      <c r="K27" s="64"/>
      <c r="L27" s="64"/>
      <c r="M27" s="64"/>
      <c r="N27" s="64"/>
      <c r="O27" s="64"/>
      <c r="P27" s="64"/>
    </row>
    <row r="28" spans="1:16" ht="25.5" x14ac:dyDescent="0.2">
      <c r="A28" s="115">
        <f>IF(D28="","",COUNTIF(B$13:$B28,"l.c"))</f>
        <v>14</v>
      </c>
      <c r="B28" s="115" t="str">
        <f t="shared" si="1"/>
        <v>l.c</v>
      </c>
      <c r="C28" s="150" t="s">
        <v>364</v>
      </c>
      <c r="D28" s="145" t="s">
        <v>65</v>
      </c>
      <c r="E28" s="146">
        <v>9</v>
      </c>
      <c r="F28" s="64"/>
      <c r="G28" s="64"/>
      <c r="H28" s="64"/>
      <c r="I28" s="64"/>
      <c r="J28" s="64"/>
      <c r="K28" s="64"/>
      <c r="L28" s="64"/>
      <c r="M28" s="64"/>
      <c r="N28" s="64"/>
      <c r="O28" s="64"/>
      <c r="P28" s="64"/>
    </row>
    <row r="29" spans="1:16" ht="25.5" x14ac:dyDescent="0.2">
      <c r="A29" s="115">
        <f>IF(D29="","",COUNTIF(B$13:$B29,"l.c"))</f>
        <v>15</v>
      </c>
      <c r="B29" s="115" t="str">
        <f t="shared" si="1"/>
        <v>l.c</v>
      </c>
      <c r="C29" s="150" t="s">
        <v>365</v>
      </c>
      <c r="D29" s="145" t="s">
        <v>65</v>
      </c>
      <c r="E29" s="146">
        <v>14.3</v>
      </c>
      <c r="F29" s="64"/>
      <c r="G29" s="64"/>
      <c r="H29" s="64"/>
      <c r="I29" s="64"/>
      <c r="J29" s="64"/>
      <c r="K29" s="64"/>
      <c r="L29" s="64"/>
      <c r="M29" s="64"/>
      <c r="N29" s="64"/>
      <c r="O29" s="64"/>
      <c r="P29" s="64"/>
    </row>
    <row r="30" spans="1:16" ht="25.5" x14ac:dyDescent="0.2">
      <c r="A30" s="115">
        <f>IF(D30="","",COUNTIF(B$13:$B30,"l.c"))</f>
        <v>16</v>
      </c>
      <c r="B30" s="115" t="str">
        <f t="shared" si="1"/>
        <v>l.c</v>
      </c>
      <c r="C30" s="150" t="s">
        <v>366</v>
      </c>
      <c r="D30" s="145" t="s">
        <v>65</v>
      </c>
      <c r="E30" s="146">
        <v>16.600000000000001</v>
      </c>
      <c r="F30" s="64"/>
      <c r="G30" s="64"/>
      <c r="H30" s="64"/>
      <c r="I30" s="64"/>
      <c r="J30" s="64"/>
      <c r="K30" s="64"/>
      <c r="L30" s="64"/>
      <c r="M30" s="64"/>
      <c r="N30" s="64"/>
      <c r="O30" s="64"/>
      <c r="P30" s="64"/>
    </row>
    <row r="31" spans="1:16" ht="25.5" x14ac:dyDescent="0.2">
      <c r="A31" s="115">
        <f>IF(D31="","",COUNTIF(B$13:$B31,"l.c"))</f>
        <v>17</v>
      </c>
      <c r="B31" s="115" t="str">
        <f t="shared" si="1"/>
        <v>l.c</v>
      </c>
      <c r="C31" s="152" t="s">
        <v>367</v>
      </c>
      <c r="D31" s="153" t="s">
        <v>368</v>
      </c>
      <c r="E31" s="146">
        <v>1</v>
      </c>
      <c r="F31" s="64"/>
      <c r="G31" s="64"/>
      <c r="H31" s="64"/>
      <c r="I31" s="64"/>
      <c r="J31" s="64"/>
      <c r="K31" s="64"/>
      <c r="L31" s="64"/>
      <c r="M31" s="64"/>
      <c r="N31" s="64"/>
      <c r="O31" s="64"/>
      <c r="P31" s="64"/>
    </row>
    <row r="32" spans="1:16" ht="38.25" x14ac:dyDescent="0.2">
      <c r="A32" s="115">
        <f>IF(D32="","",COUNTIF(B$13:$B32,"l.c"))</f>
        <v>18</v>
      </c>
      <c r="B32" s="115" t="str">
        <f t="shared" si="1"/>
        <v>l.c</v>
      </c>
      <c r="C32" s="152" t="s">
        <v>369</v>
      </c>
      <c r="D32" s="153" t="s">
        <v>368</v>
      </c>
      <c r="E32" s="146">
        <v>2</v>
      </c>
      <c r="F32" s="64"/>
      <c r="G32" s="64"/>
      <c r="H32" s="64"/>
      <c r="I32" s="64"/>
      <c r="J32" s="64"/>
      <c r="K32" s="64"/>
      <c r="L32" s="64"/>
      <c r="M32" s="64"/>
      <c r="N32" s="64"/>
      <c r="O32" s="64"/>
      <c r="P32" s="64"/>
    </row>
    <row r="33" spans="1:16" ht="38.25" x14ac:dyDescent="0.2">
      <c r="A33" s="115">
        <f>IF(D33="","",COUNTIF(B$13:$B33,"l.c"))</f>
        <v>19</v>
      </c>
      <c r="B33" s="115" t="str">
        <f t="shared" si="1"/>
        <v>l.c</v>
      </c>
      <c r="C33" s="154" t="s">
        <v>370</v>
      </c>
      <c r="D33" s="155" t="s">
        <v>107</v>
      </c>
      <c r="E33" s="156">
        <v>1</v>
      </c>
      <c r="F33" s="64"/>
      <c r="G33" s="64"/>
      <c r="H33" s="64"/>
      <c r="I33" s="64"/>
      <c r="J33" s="64"/>
      <c r="K33" s="64"/>
      <c r="L33" s="64"/>
      <c r="M33" s="64"/>
      <c r="N33" s="64"/>
      <c r="O33" s="64"/>
      <c r="P33" s="64"/>
    </row>
    <row r="34" spans="1:16" ht="38.25" x14ac:dyDescent="0.2">
      <c r="A34" s="115">
        <f>IF(D34="","",COUNTIF(B$13:$B34,"l.c"))</f>
        <v>20</v>
      </c>
      <c r="B34" s="115" t="str">
        <f t="shared" si="1"/>
        <v>l.c</v>
      </c>
      <c r="C34" s="154" t="s">
        <v>371</v>
      </c>
      <c r="D34" s="155" t="s">
        <v>107</v>
      </c>
      <c r="E34" s="156">
        <v>1</v>
      </c>
      <c r="F34" s="64"/>
      <c r="G34" s="64"/>
      <c r="H34" s="64"/>
      <c r="I34" s="64"/>
      <c r="J34" s="64"/>
      <c r="K34" s="64"/>
      <c r="L34" s="64"/>
      <c r="M34" s="64"/>
      <c r="N34" s="64"/>
      <c r="O34" s="64"/>
      <c r="P34" s="64"/>
    </row>
    <row r="35" spans="1:16" ht="25.5" x14ac:dyDescent="0.2">
      <c r="A35" s="115">
        <f>IF(D35="","",COUNTIF(B$13:$B35,"l.c"))</f>
        <v>21</v>
      </c>
      <c r="B35" s="115" t="str">
        <f t="shared" si="1"/>
        <v>l.c</v>
      </c>
      <c r="C35" s="154" t="s">
        <v>372</v>
      </c>
      <c r="D35" s="155" t="s">
        <v>109</v>
      </c>
      <c r="E35" s="156">
        <v>3</v>
      </c>
      <c r="F35" s="64"/>
      <c r="G35" s="64"/>
      <c r="H35" s="64"/>
      <c r="I35" s="64"/>
      <c r="J35" s="64"/>
      <c r="K35" s="64"/>
      <c r="L35" s="64"/>
      <c r="M35" s="64"/>
      <c r="N35" s="64"/>
      <c r="O35" s="64"/>
      <c r="P35" s="64"/>
    </row>
    <row r="36" spans="1:16" ht="12.75" x14ac:dyDescent="0.2">
      <c r="A36" s="115">
        <f>IF(D36="","",COUNTIF(B$13:$B36,"l.c"))</f>
        <v>22</v>
      </c>
      <c r="B36" s="115" t="str">
        <f t="shared" si="1"/>
        <v>l.c</v>
      </c>
      <c r="C36" s="154" t="s">
        <v>373</v>
      </c>
      <c r="D36" s="155" t="s">
        <v>109</v>
      </c>
      <c r="E36" s="156">
        <v>1</v>
      </c>
      <c r="F36" s="64"/>
      <c r="G36" s="64"/>
      <c r="H36" s="64"/>
      <c r="I36" s="64"/>
      <c r="J36" s="64"/>
      <c r="K36" s="64"/>
      <c r="L36" s="64"/>
      <c r="M36" s="64"/>
      <c r="N36" s="64"/>
      <c r="O36" s="64"/>
      <c r="P36" s="64"/>
    </row>
    <row r="37" spans="1:16" ht="12.75" x14ac:dyDescent="0.2">
      <c r="A37" s="115">
        <f>IF(D37="","",COUNTIF(B$13:$B37,"l.c"))</f>
        <v>23</v>
      </c>
      <c r="B37" s="115" t="str">
        <f t="shared" si="1"/>
        <v>l.c</v>
      </c>
      <c r="C37" s="157" t="s">
        <v>374</v>
      </c>
      <c r="D37" s="148" t="s">
        <v>109</v>
      </c>
      <c r="E37" s="148" t="s">
        <v>375</v>
      </c>
      <c r="F37" s="64"/>
      <c r="G37" s="64"/>
      <c r="H37" s="64"/>
      <c r="I37" s="64"/>
      <c r="J37" s="64"/>
      <c r="K37" s="64"/>
      <c r="L37" s="64"/>
      <c r="M37" s="64"/>
      <c r="N37" s="64"/>
      <c r="O37" s="64"/>
      <c r="P37" s="64"/>
    </row>
    <row r="38" spans="1:16" ht="12.75" x14ac:dyDescent="0.2">
      <c r="A38" s="115">
        <f>IF(D38="","",COUNTIF(B$13:$B38,"l.c"))</f>
        <v>24</v>
      </c>
      <c r="B38" s="115" t="str">
        <f t="shared" si="1"/>
        <v>l.c</v>
      </c>
      <c r="C38" s="157" t="s">
        <v>376</v>
      </c>
      <c r="D38" s="148" t="s">
        <v>109</v>
      </c>
      <c r="E38" s="148" t="s">
        <v>377</v>
      </c>
      <c r="F38" s="64"/>
      <c r="G38" s="64"/>
      <c r="H38" s="64"/>
      <c r="I38" s="64"/>
      <c r="J38" s="64"/>
      <c r="K38" s="64"/>
      <c r="L38" s="64"/>
      <c r="M38" s="64"/>
      <c r="N38" s="64"/>
      <c r="O38" s="64"/>
      <c r="P38" s="64"/>
    </row>
    <row r="39" spans="1:16" ht="12.75" x14ac:dyDescent="0.2">
      <c r="A39" s="115">
        <f>IF(D39="","",COUNTIF(B$13:$B39,"l.c"))</f>
        <v>25</v>
      </c>
      <c r="B39" s="115" t="str">
        <f t="shared" si="1"/>
        <v>l.c</v>
      </c>
      <c r="C39" s="157" t="s">
        <v>378</v>
      </c>
      <c r="D39" s="148" t="s">
        <v>109</v>
      </c>
      <c r="E39" s="148" t="s">
        <v>379</v>
      </c>
      <c r="F39" s="64"/>
      <c r="G39" s="64"/>
      <c r="H39" s="64"/>
      <c r="I39" s="64"/>
      <c r="J39" s="64"/>
      <c r="K39" s="64"/>
      <c r="L39" s="64"/>
      <c r="M39" s="64"/>
      <c r="N39" s="64"/>
      <c r="O39" s="64"/>
      <c r="P39" s="64"/>
    </row>
    <row r="40" spans="1:16" ht="12.75" x14ac:dyDescent="0.2">
      <c r="A40" s="115">
        <f>IF(D40="","",COUNTIF(B$13:$B40,"l.c"))</f>
        <v>26</v>
      </c>
      <c r="B40" s="115" t="str">
        <f t="shared" si="1"/>
        <v>l.c</v>
      </c>
      <c r="C40" s="147" t="s">
        <v>380</v>
      </c>
      <c r="D40" s="155" t="s">
        <v>109</v>
      </c>
      <c r="E40" s="148" t="s">
        <v>381</v>
      </c>
      <c r="F40" s="64"/>
      <c r="G40" s="64"/>
      <c r="H40" s="64"/>
      <c r="I40" s="64"/>
      <c r="J40" s="64"/>
      <c r="K40" s="64"/>
      <c r="L40" s="64"/>
      <c r="M40" s="64"/>
      <c r="N40" s="64"/>
      <c r="O40" s="64"/>
      <c r="P40" s="64"/>
    </row>
    <row r="41" spans="1:16" ht="12.75" x14ac:dyDescent="0.2">
      <c r="A41" s="115">
        <f>IF(D41="","",COUNTIF(B$13:$B41,"l.c"))</f>
        <v>27</v>
      </c>
      <c r="B41" s="115" t="str">
        <f t="shared" si="1"/>
        <v>l.c</v>
      </c>
      <c r="C41" s="147" t="s">
        <v>382</v>
      </c>
      <c r="D41" s="155" t="s">
        <v>109</v>
      </c>
      <c r="E41" s="148" t="s">
        <v>383</v>
      </c>
      <c r="F41" s="64"/>
      <c r="G41" s="64"/>
      <c r="H41" s="64"/>
      <c r="I41" s="64"/>
      <c r="J41" s="64"/>
      <c r="K41" s="64"/>
      <c r="L41" s="64"/>
      <c r="M41" s="64"/>
      <c r="N41" s="64"/>
      <c r="O41" s="64"/>
      <c r="P41" s="64"/>
    </row>
    <row r="42" spans="1:16" ht="38.25" x14ac:dyDescent="0.2">
      <c r="A42" s="115">
        <f>IF(D42="","",COUNTIF(B$13:$B42,"l.c"))</f>
        <v>28</v>
      </c>
      <c r="B42" s="115" t="str">
        <f t="shared" si="1"/>
        <v>l.c</v>
      </c>
      <c r="C42" s="158" t="s">
        <v>384</v>
      </c>
      <c r="D42" s="155" t="s">
        <v>107</v>
      </c>
      <c r="E42" s="148" t="s">
        <v>375</v>
      </c>
      <c r="F42" s="64"/>
      <c r="G42" s="64"/>
      <c r="H42" s="64"/>
      <c r="I42" s="64"/>
      <c r="J42" s="64"/>
      <c r="K42" s="64"/>
      <c r="L42" s="64"/>
      <c r="M42" s="64"/>
      <c r="N42" s="64"/>
      <c r="O42" s="64"/>
      <c r="P42" s="64"/>
    </row>
    <row r="43" spans="1:16" ht="25.5" x14ac:dyDescent="0.2">
      <c r="A43" s="115">
        <f>IF(D43="","",COUNTIF(B$13:$B43,"l.c"))</f>
        <v>29</v>
      </c>
      <c r="B43" s="115" t="str">
        <f t="shared" si="1"/>
        <v>l.c</v>
      </c>
      <c r="C43" s="158" t="s">
        <v>385</v>
      </c>
      <c r="D43" s="155" t="s">
        <v>107</v>
      </c>
      <c r="E43" s="159">
        <v>2</v>
      </c>
      <c r="F43" s="64"/>
      <c r="G43" s="64"/>
      <c r="H43" s="64"/>
      <c r="I43" s="64"/>
      <c r="J43" s="64"/>
      <c r="K43" s="64"/>
      <c r="L43" s="64"/>
      <c r="M43" s="64"/>
      <c r="N43" s="64"/>
      <c r="O43" s="64"/>
      <c r="P43" s="64"/>
    </row>
    <row r="44" spans="1:16" ht="25.5" x14ac:dyDescent="0.2">
      <c r="A44" s="115">
        <f>IF(D44="","",COUNTIF(B$13:$B44,"l.c"))</f>
        <v>30</v>
      </c>
      <c r="B44" s="115" t="str">
        <f t="shared" si="1"/>
        <v>l.c</v>
      </c>
      <c r="C44" s="152" t="s">
        <v>386</v>
      </c>
      <c r="D44" s="153" t="s">
        <v>109</v>
      </c>
      <c r="E44" s="146">
        <v>1</v>
      </c>
      <c r="F44" s="64"/>
      <c r="G44" s="64"/>
      <c r="H44" s="64"/>
      <c r="I44" s="64"/>
      <c r="J44" s="64"/>
      <c r="K44" s="64"/>
      <c r="L44" s="64"/>
      <c r="M44" s="64"/>
      <c r="N44" s="64"/>
      <c r="O44" s="64"/>
      <c r="P44" s="64"/>
    </row>
    <row r="45" spans="1:16" ht="38.25" x14ac:dyDescent="0.2">
      <c r="A45" s="115">
        <f>IF(D45="","",COUNTIF(B$13:$B45,"l.c"))</f>
        <v>31</v>
      </c>
      <c r="B45" s="115" t="str">
        <f t="shared" si="1"/>
        <v>l.c</v>
      </c>
      <c r="C45" s="152" t="s">
        <v>387</v>
      </c>
      <c r="D45" s="153" t="s">
        <v>109</v>
      </c>
      <c r="E45" s="146">
        <v>1</v>
      </c>
      <c r="F45" s="64"/>
      <c r="G45" s="64"/>
      <c r="H45" s="64"/>
      <c r="I45" s="64"/>
      <c r="J45" s="64"/>
      <c r="K45" s="64"/>
      <c r="L45" s="64"/>
      <c r="M45" s="64"/>
      <c r="N45" s="64"/>
      <c r="O45" s="64"/>
      <c r="P45" s="64"/>
    </row>
    <row r="46" spans="1:16" ht="12.75" x14ac:dyDescent="0.2">
      <c r="A46" s="115">
        <f>IF(D46="","",COUNTIF(B$13:$B46,"l.c"))</f>
        <v>32</v>
      </c>
      <c r="B46" s="115" t="str">
        <f t="shared" si="1"/>
        <v>l.c</v>
      </c>
      <c r="C46" s="160" t="s">
        <v>388</v>
      </c>
      <c r="D46" s="159" t="s">
        <v>107</v>
      </c>
      <c r="E46" s="148" t="s">
        <v>375</v>
      </c>
      <c r="F46" s="64"/>
      <c r="G46" s="64"/>
      <c r="H46" s="64"/>
      <c r="I46" s="64"/>
      <c r="J46" s="64"/>
      <c r="K46" s="64"/>
      <c r="L46" s="64"/>
      <c r="M46" s="64"/>
      <c r="N46" s="64"/>
      <c r="O46" s="64"/>
      <c r="P46" s="64"/>
    </row>
    <row r="47" spans="1:16" ht="13.5" x14ac:dyDescent="0.2">
      <c r="A47" s="115" t="str">
        <f>IF(D47="","",COUNTIF(B$13:$B47,"l.c"))</f>
        <v/>
      </c>
      <c r="B47" s="115" t="str">
        <f t="shared" si="1"/>
        <v/>
      </c>
      <c r="C47" s="161" t="s">
        <v>389</v>
      </c>
      <c r="D47" s="162"/>
      <c r="E47" s="163"/>
      <c r="F47" s="64"/>
      <c r="G47" s="64"/>
      <c r="H47" s="64"/>
      <c r="I47" s="64"/>
      <c r="J47" s="64"/>
      <c r="K47" s="64"/>
      <c r="L47" s="64"/>
      <c r="M47" s="64"/>
      <c r="N47" s="64"/>
      <c r="O47" s="64"/>
      <c r="P47" s="64"/>
    </row>
    <row r="48" spans="1:16" ht="25.5" x14ac:dyDescent="0.2">
      <c r="A48" s="115">
        <f>IF(D48="","",COUNTIF(B$13:$B48,"l.c"))</f>
        <v>33</v>
      </c>
      <c r="B48" s="115" t="str">
        <f t="shared" si="1"/>
        <v>l.c</v>
      </c>
      <c r="C48" s="144" t="s">
        <v>390</v>
      </c>
      <c r="D48" s="164" t="s">
        <v>109</v>
      </c>
      <c r="E48" s="165">
        <v>1</v>
      </c>
      <c r="F48" s="64"/>
      <c r="G48" s="64"/>
      <c r="H48" s="64"/>
      <c r="I48" s="64"/>
      <c r="J48" s="64"/>
      <c r="K48" s="64"/>
      <c r="L48" s="64"/>
      <c r="M48" s="64"/>
      <c r="N48" s="64"/>
      <c r="O48" s="64"/>
      <c r="P48" s="64"/>
    </row>
    <row r="49" spans="1:16" ht="63.75" x14ac:dyDescent="0.2">
      <c r="A49" s="115">
        <f>IF(D49="","",COUNTIF(B$13:$B49,"l.c"))</f>
        <v>34</v>
      </c>
      <c r="B49" s="115" t="str">
        <f t="shared" si="1"/>
        <v>l.c</v>
      </c>
      <c r="C49" s="144" t="s">
        <v>391</v>
      </c>
      <c r="D49" s="153" t="s">
        <v>109</v>
      </c>
      <c r="E49" s="165">
        <v>1</v>
      </c>
      <c r="F49" s="64"/>
      <c r="G49" s="64"/>
      <c r="H49" s="64"/>
      <c r="I49" s="64"/>
      <c r="J49" s="64"/>
      <c r="K49" s="64"/>
      <c r="L49" s="64"/>
      <c r="M49" s="64"/>
      <c r="N49" s="64"/>
      <c r="O49" s="64"/>
      <c r="P49" s="64"/>
    </row>
    <row r="50" spans="1:16" ht="38.25" x14ac:dyDescent="0.2">
      <c r="A50" s="115">
        <f>IF(D50="","",COUNTIF(B$13:$B50,"l.c"))</f>
        <v>35</v>
      </c>
      <c r="B50" s="115" t="str">
        <f t="shared" si="1"/>
        <v>l.c</v>
      </c>
      <c r="C50" s="144" t="s">
        <v>392</v>
      </c>
      <c r="D50" s="153" t="s">
        <v>109</v>
      </c>
      <c r="E50" s="165">
        <v>1</v>
      </c>
      <c r="F50" s="64"/>
      <c r="G50" s="64"/>
      <c r="H50" s="64"/>
      <c r="I50" s="64"/>
      <c r="J50" s="64"/>
      <c r="K50" s="64"/>
      <c r="L50" s="64"/>
      <c r="M50" s="64"/>
      <c r="N50" s="64"/>
      <c r="O50" s="64"/>
      <c r="P50" s="64"/>
    </row>
    <row r="51" spans="1:16" ht="25.5" x14ac:dyDescent="0.2">
      <c r="A51" s="115"/>
      <c r="B51" s="115"/>
      <c r="C51" s="152" t="s">
        <v>393</v>
      </c>
      <c r="D51" s="153" t="s">
        <v>107</v>
      </c>
      <c r="E51" s="165">
        <v>1</v>
      </c>
      <c r="F51" s="64"/>
      <c r="G51" s="64"/>
      <c r="H51" s="64"/>
      <c r="I51" s="64"/>
      <c r="J51" s="64"/>
      <c r="K51" s="64"/>
      <c r="L51" s="64"/>
      <c r="M51" s="64"/>
      <c r="N51" s="64"/>
      <c r="O51" s="64"/>
      <c r="P51" s="64"/>
    </row>
    <row r="52" spans="1:16" ht="13.5" x14ac:dyDescent="0.2">
      <c r="A52" s="115"/>
      <c r="B52" s="115"/>
      <c r="C52" s="166" t="s">
        <v>394</v>
      </c>
      <c r="D52" s="167"/>
      <c r="E52" s="148"/>
      <c r="F52" s="64"/>
      <c r="G52" s="64"/>
      <c r="H52" s="64"/>
      <c r="I52" s="64"/>
      <c r="J52" s="64"/>
      <c r="K52" s="64"/>
      <c r="L52" s="64"/>
      <c r="M52" s="64"/>
      <c r="N52" s="64"/>
      <c r="O52" s="64"/>
      <c r="P52" s="64"/>
    </row>
    <row r="53" spans="1:16" ht="63.75" x14ac:dyDescent="0.2">
      <c r="A53" s="115"/>
      <c r="B53" s="115"/>
      <c r="C53" s="168" t="s">
        <v>395</v>
      </c>
      <c r="D53" s="153" t="s">
        <v>65</v>
      </c>
      <c r="E53" s="165">
        <f>2.9+1.6+1.8+1.9+1.6</f>
        <v>9.8000000000000007</v>
      </c>
      <c r="F53" s="64"/>
      <c r="G53" s="64"/>
      <c r="H53" s="64"/>
      <c r="I53" s="64"/>
      <c r="J53" s="64"/>
      <c r="K53" s="64"/>
      <c r="L53" s="64"/>
      <c r="M53" s="64"/>
      <c r="N53" s="64"/>
      <c r="O53" s="64"/>
      <c r="P53" s="64"/>
    </row>
    <row r="54" spans="1:16" ht="63.75" x14ac:dyDescent="0.2">
      <c r="A54" s="115">
        <f>IF(D54="","",COUNTIF(B$13:$B54,"l.c"))</f>
        <v>36</v>
      </c>
      <c r="B54" s="115" t="str">
        <f t="shared" ref="B54:B58" si="2">IF(D54="","","l.c")</f>
        <v>l.c</v>
      </c>
      <c r="C54" s="168" t="s">
        <v>396</v>
      </c>
      <c r="D54" s="153" t="s">
        <v>65</v>
      </c>
      <c r="E54" s="165">
        <v>2.2000000000000002</v>
      </c>
      <c r="F54" s="64"/>
      <c r="G54" s="64"/>
      <c r="H54" s="64"/>
      <c r="I54" s="64"/>
      <c r="J54" s="64"/>
      <c r="K54" s="64"/>
      <c r="L54" s="64"/>
      <c r="M54" s="64"/>
      <c r="N54" s="64"/>
      <c r="O54" s="64"/>
      <c r="P54" s="64"/>
    </row>
    <row r="55" spans="1:16" ht="38.25" x14ac:dyDescent="0.2">
      <c r="A55" s="115">
        <f>IF(D55="","",COUNTIF(B$13:$B55,"l.c"))</f>
        <v>37</v>
      </c>
      <c r="B55" s="115" t="str">
        <f t="shared" si="2"/>
        <v>l.c</v>
      </c>
      <c r="C55" s="168" t="s">
        <v>397</v>
      </c>
      <c r="D55" s="153" t="s">
        <v>65</v>
      </c>
      <c r="E55" s="165">
        <f>1.4+0.6+0.6+0.6</f>
        <v>3.2</v>
      </c>
      <c r="F55" s="64"/>
      <c r="G55" s="64"/>
      <c r="H55" s="64"/>
      <c r="I55" s="64"/>
      <c r="J55" s="64"/>
      <c r="K55" s="64"/>
      <c r="L55" s="64"/>
      <c r="M55" s="64"/>
      <c r="N55" s="64"/>
      <c r="O55" s="64"/>
      <c r="P55" s="64"/>
    </row>
    <row r="56" spans="1:16" ht="25.5" x14ac:dyDescent="0.2">
      <c r="A56" s="115">
        <f>IF(D56="","",COUNTIF(B$13:$B56,"l.c"))</f>
        <v>38</v>
      </c>
      <c r="B56" s="115" t="str">
        <f t="shared" si="2"/>
        <v>l.c</v>
      </c>
      <c r="C56" s="169" t="s">
        <v>398</v>
      </c>
      <c r="D56" s="170" t="s">
        <v>65</v>
      </c>
      <c r="E56" s="170">
        <v>4.3</v>
      </c>
      <c r="F56" s="64"/>
      <c r="G56" s="64"/>
      <c r="H56" s="64"/>
      <c r="I56" s="64"/>
      <c r="J56" s="64"/>
      <c r="K56" s="64"/>
      <c r="L56" s="64"/>
      <c r="M56" s="64"/>
      <c r="N56" s="64"/>
      <c r="O56" s="64"/>
      <c r="P56" s="64"/>
    </row>
    <row r="57" spans="1:16" ht="51" x14ac:dyDescent="0.2">
      <c r="A57" s="115">
        <f>IF(D57="","",COUNTIF(B$13:$B57,"l.c"))</f>
        <v>39</v>
      </c>
      <c r="B57" s="115" t="str">
        <f t="shared" si="2"/>
        <v>l.c</v>
      </c>
      <c r="C57" s="144" t="s">
        <v>399</v>
      </c>
      <c r="D57" s="153" t="s">
        <v>65</v>
      </c>
      <c r="E57" s="165">
        <v>4.3</v>
      </c>
      <c r="F57" s="64"/>
      <c r="G57" s="64"/>
      <c r="H57" s="64"/>
      <c r="I57" s="64"/>
      <c r="J57" s="64"/>
      <c r="K57" s="64"/>
      <c r="L57" s="64"/>
      <c r="M57" s="64"/>
      <c r="N57" s="64"/>
      <c r="O57" s="64"/>
      <c r="P57" s="64"/>
    </row>
    <row r="58" spans="1:16" ht="38.25" x14ac:dyDescent="0.2">
      <c r="A58" s="115">
        <f>IF(D58="","",COUNTIF(B$13:$B58,"l.c"))</f>
        <v>40</v>
      </c>
      <c r="B58" s="115" t="str">
        <f t="shared" si="2"/>
        <v>l.c</v>
      </c>
      <c r="C58" s="144" t="s">
        <v>400</v>
      </c>
      <c r="D58" s="153" t="s">
        <v>401</v>
      </c>
      <c r="E58" s="165">
        <v>1</v>
      </c>
      <c r="F58" s="64"/>
      <c r="G58" s="64"/>
      <c r="H58" s="64"/>
      <c r="I58" s="64"/>
      <c r="J58" s="64"/>
      <c r="K58" s="64"/>
      <c r="L58" s="64"/>
      <c r="M58" s="64"/>
      <c r="N58" s="64"/>
      <c r="O58" s="64"/>
      <c r="P58" s="64"/>
    </row>
    <row r="59" spans="1:16" ht="12.75" x14ac:dyDescent="0.2">
      <c r="A59" s="115">
        <f>IF(D59="","",COUNTIF(B$13:$B59,"l.c"))</f>
        <v>41</v>
      </c>
      <c r="B59" s="115" t="str">
        <f t="shared" ref="B59:B74" si="3">IF(D59="","","l.c")</f>
        <v>l.c</v>
      </c>
      <c r="C59" s="144" t="s">
        <v>402</v>
      </c>
      <c r="D59" s="153" t="s">
        <v>109</v>
      </c>
      <c r="E59" s="165">
        <v>1</v>
      </c>
      <c r="F59" s="64"/>
      <c r="G59" s="64"/>
      <c r="H59" s="64"/>
      <c r="I59" s="64"/>
      <c r="J59" s="64"/>
      <c r="K59" s="64"/>
      <c r="L59" s="64"/>
      <c r="M59" s="64"/>
      <c r="N59" s="64"/>
      <c r="O59" s="64"/>
      <c r="P59" s="64"/>
    </row>
    <row r="60" spans="1:16" ht="38.25" x14ac:dyDescent="0.2">
      <c r="A60" s="115">
        <f>IF(D60="","",COUNTIF(B$13:$B60,"l.c"))</f>
        <v>42</v>
      </c>
      <c r="B60" s="115" t="str">
        <f t="shared" si="3"/>
        <v>l.c</v>
      </c>
      <c r="C60" s="144" t="s">
        <v>403</v>
      </c>
      <c r="D60" s="153" t="s">
        <v>109</v>
      </c>
      <c r="E60" s="165">
        <v>1</v>
      </c>
      <c r="F60" s="64"/>
      <c r="G60" s="64"/>
      <c r="H60" s="64"/>
      <c r="I60" s="64"/>
      <c r="J60" s="64"/>
      <c r="K60" s="64"/>
      <c r="L60" s="64"/>
      <c r="M60" s="64"/>
      <c r="N60" s="64"/>
      <c r="O60" s="64"/>
      <c r="P60" s="64"/>
    </row>
    <row r="61" spans="1:16" ht="38.25" x14ac:dyDescent="0.2">
      <c r="A61" s="115">
        <f>IF(D61="","",COUNTIF(B$13:$B61,"l.c"))</f>
        <v>43</v>
      </c>
      <c r="B61" s="115" t="str">
        <f t="shared" si="3"/>
        <v>l.c</v>
      </c>
      <c r="C61" s="144" t="s">
        <v>404</v>
      </c>
      <c r="D61" s="153" t="s">
        <v>109</v>
      </c>
      <c r="E61" s="165">
        <v>2</v>
      </c>
      <c r="F61" s="64"/>
      <c r="G61" s="64"/>
      <c r="H61" s="64"/>
      <c r="I61" s="64"/>
      <c r="J61" s="64"/>
      <c r="K61" s="64"/>
      <c r="L61" s="64"/>
      <c r="M61" s="64"/>
      <c r="N61" s="64"/>
      <c r="O61" s="64"/>
      <c r="P61" s="64"/>
    </row>
    <row r="62" spans="1:16" ht="13.5" x14ac:dyDescent="0.2">
      <c r="A62" s="115" t="str">
        <f>IF(D62="","",COUNTIF(B$13:$B62,"l.c"))</f>
        <v/>
      </c>
      <c r="B62" s="115" t="str">
        <f t="shared" si="3"/>
        <v/>
      </c>
      <c r="C62" s="161" t="s">
        <v>405</v>
      </c>
      <c r="D62" s="171"/>
      <c r="E62" s="172"/>
      <c r="F62" s="64"/>
      <c r="G62" s="64"/>
      <c r="H62" s="64"/>
      <c r="I62" s="64"/>
      <c r="J62" s="64"/>
      <c r="K62" s="64"/>
      <c r="L62" s="64"/>
      <c r="M62" s="64"/>
      <c r="N62" s="64"/>
      <c r="O62" s="64"/>
      <c r="P62" s="64"/>
    </row>
    <row r="63" spans="1:16" ht="63.75" x14ac:dyDescent="0.2">
      <c r="A63" s="115">
        <f>IF(D63="","",COUNTIF(B$13:$B63,"l.c"))</f>
        <v>44</v>
      </c>
      <c r="B63" s="115" t="str">
        <f t="shared" si="3"/>
        <v>l.c</v>
      </c>
      <c r="C63" s="168" t="s">
        <v>406</v>
      </c>
      <c r="D63" s="153" t="s">
        <v>65</v>
      </c>
      <c r="E63" s="165">
        <f>2.1+3.7+0.8+7.5+3.2</f>
        <v>17.3</v>
      </c>
      <c r="F63" s="64"/>
      <c r="G63" s="64"/>
      <c r="H63" s="64"/>
      <c r="I63" s="64"/>
      <c r="J63" s="64"/>
      <c r="K63" s="64"/>
      <c r="L63" s="64"/>
      <c r="M63" s="64"/>
      <c r="N63" s="64"/>
      <c r="O63" s="64"/>
      <c r="P63" s="64"/>
    </row>
    <row r="64" spans="1:16" ht="63.75" x14ac:dyDescent="0.2">
      <c r="A64" s="115">
        <f>IF(D64="","",COUNTIF(B$13:$B64,"l.c"))</f>
        <v>45</v>
      </c>
      <c r="B64" s="115" t="str">
        <f t="shared" si="3"/>
        <v>l.c</v>
      </c>
      <c r="C64" s="168" t="s">
        <v>395</v>
      </c>
      <c r="D64" s="153" t="s">
        <v>65</v>
      </c>
      <c r="E64" s="165">
        <f>2.7+1.1+1.5+1.1</f>
        <v>6.4</v>
      </c>
      <c r="F64" s="64"/>
      <c r="G64" s="64"/>
      <c r="H64" s="64"/>
      <c r="I64" s="64"/>
      <c r="J64" s="64"/>
      <c r="K64" s="64"/>
      <c r="L64" s="64"/>
      <c r="M64" s="64"/>
      <c r="N64" s="64"/>
      <c r="O64" s="64"/>
      <c r="P64" s="64"/>
    </row>
    <row r="65" spans="1:16" ht="63.75" x14ac:dyDescent="0.2">
      <c r="A65" s="115">
        <f>IF(D65="","",COUNTIF(B$13:$B65,"l.c"))</f>
        <v>46</v>
      </c>
      <c r="B65" s="115" t="str">
        <f t="shared" si="3"/>
        <v>l.c</v>
      </c>
      <c r="C65" s="168" t="s">
        <v>396</v>
      </c>
      <c r="D65" s="153" t="s">
        <v>65</v>
      </c>
      <c r="E65" s="165">
        <f>2.3</f>
        <v>2.2999999999999998</v>
      </c>
      <c r="F65" s="64"/>
      <c r="G65" s="64"/>
      <c r="H65" s="64"/>
      <c r="I65" s="64"/>
      <c r="J65" s="64"/>
      <c r="K65" s="64"/>
      <c r="L65" s="64"/>
      <c r="M65" s="64"/>
      <c r="N65" s="64"/>
      <c r="O65" s="64"/>
      <c r="P65" s="64"/>
    </row>
    <row r="66" spans="1:16" ht="38.25" x14ac:dyDescent="0.2">
      <c r="A66" s="115">
        <f>IF(D66="","",COUNTIF(B$13:$B66,"l.c"))</f>
        <v>47</v>
      </c>
      <c r="B66" s="115" t="str">
        <f t="shared" si="3"/>
        <v>l.c</v>
      </c>
      <c r="C66" s="168" t="s">
        <v>407</v>
      </c>
      <c r="D66" s="153" t="s">
        <v>65</v>
      </c>
      <c r="E66" s="165">
        <f>0.4+0.9+1.4</f>
        <v>2.7</v>
      </c>
      <c r="F66" s="64"/>
      <c r="G66" s="64"/>
      <c r="H66" s="64"/>
      <c r="I66" s="64"/>
      <c r="J66" s="64"/>
      <c r="K66" s="64"/>
      <c r="L66" s="64"/>
      <c r="M66" s="64"/>
      <c r="N66" s="64"/>
      <c r="O66" s="64"/>
      <c r="P66" s="64"/>
    </row>
    <row r="67" spans="1:16" ht="38.25" x14ac:dyDescent="0.2">
      <c r="A67" s="115">
        <f>IF(D67="","",COUNTIF(B$13:$B67,"l.c"))</f>
        <v>48</v>
      </c>
      <c r="B67" s="115" t="str">
        <f t="shared" si="3"/>
        <v>l.c</v>
      </c>
      <c r="C67" s="168" t="s">
        <v>397</v>
      </c>
      <c r="D67" s="153" t="s">
        <v>65</v>
      </c>
      <c r="E67" s="165">
        <f>0.9+0.9+0.9+0.9</f>
        <v>3.6</v>
      </c>
      <c r="F67" s="64"/>
      <c r="G67" s="64"/>
      <c r="H67" s="64"/>
      <c r="I67" s="64"/>
      <c r="J67" s="64"/>
      <c r="K67" s="64"/>
      <c r="L67" s="64"/>
      <c r="M67" s="64"/>
      <c r="N67" s="64"/>
      <c r="O67" s="64"/>
      <c r="P67" s="64"/>
    </row>
    <row r="68" spans="1:16" ht="38.25" x14ac:dyDescent="0.2">
      <c r="A68" s="115">
        <f>IF(D68="","",COUNTIF(B$13:$B68,"l.c"))</f>
        <v>49</v>
      </c>
      <c r="B68" s="115" t="str">
        <f t="shared" si="3"/>
        <v>l.c</v>
      </c>
      <c r="C68" s="168" t="s">
        <v>408</v>
      </c>
      <c r="D68" s="153" t="s">
        <v>65</v>
      </c>
      <c r="E68" s="165">
        <f>1.7+1.4</f>
        <v>3.1</v>
      </c>
      <c r="F68" s="64"/>
      <c r="G68" s="64"/>
      <c r="H68" s="64"/>
      <c r="I68" s="64"/>
      <c r="J68" s="64"/>
      <c r="K68" s="64"/>
      <c r="L68" s="64"/>
      <c r="M68" s="64"/>
      <c r="N68" s="64"/>
      <c r="O68" s="64"/>
      <c r="P68" s="64"/>
    </row>
    <row r="69" spans="1:16" ht="38.25" x14ac:dyDescent="0.2">
      <c r="A69" s="115">
        <f>IF(D69="","",COUNTIF(B$13:$B69,"l.c"))</f>
        <v>50</v>
      </c>
      <c r="B69" s="115" t="str">
        <f t="shared" si="3"/>
        <v>l.c</v>
      </c>
      <c r="C69" s="144" t="s">
        <v>409</v>
      </c>
      <c r="D69" s="153" t="s">
        <v>65</v>
      </c>
      <c r="E69" s="165">
        <v>4.3</v>
      </c>
      <c r="F69" s="64"/>
      <c r="G69" s="64"/>
      <c r="H69" s="64"/>
      <c r="I69" s="64"/>
      <c r="J69" s="64"/>
      <c r="K69" s="64"/>
      <c r="L69" s="64"/>
      <c r="M69" s="64"/>
      <c r="N69" s="64"/>
      <c r="O69" s="64"/>
      <c r="P69" s="64"/>
    </row>
    <row r="70" spans="1:16" ht="38.25" x14ac:dyDescent="0.2">
      <c r="A70" s="115">
        <f>IF(D70="","",COUNTIF(B$13:$B70,"l.c"))</f>
        <v>51</v>
      </c>
      <c r="B70" s="115" t="str">
        <f t="shared" si="3"/>
        <v>l.c</v>
      </c>
      <c r="C70" s="144" t="s">
        <v>410</v>
      </c>
      <c r="D70" s="153" t="s">
        <v>401</v>
      </c>
      <c r="E70" s="165">
        <v>1</v>
      </c>
      <c r="F70" s="64"/>
      <c r="G70" s="64"/>
      <c r="H70" s="64"/>
      <c r="I70" s="64"/>
      <c r="J70" s="64"/>
      <c r="K70" s="64"/>
      <c r="L70" s="64"/>
      <c r="M70" s="64"/>
      <c r="N70" s="64"/>
      <c r="O70" s="64"/>
      <c r="P70" s="64"/>
    </row>
    <row r="71" spans="1:16" ht="12.75" x14ac:dyDescent="0.2">
      <c r="A71" s="115">
        <f>IF(D71="","",COUNTIF(B$13:$B71,"l.c"))</f>
        <v>52</v>
      </c>
      <c r="B71" s="115" t="str">
        <f t="shared" si="3"/>
        <v>l.c</v>
      </c>
      <c r="C71" s="144" t="s">
        <v>411</v>
      </c>
      <c r="D71" s="153" t="s">
        <v>109</v>
      </c>
      <c r="E71" s="165">
        <v>1</v>
      </c>
      <c r="F71" s="64"/>
      <c r="G71" s="64"/>
      <c r="H71" s="64"/>
      <c r="I71" s="64"/>
      <c r="J71" s="64"/>
      <c r="K71" s="64"/>
      <c r="L71" s="64"/>
      <c r="M71" s="64"/>
      <c r="N71" s="64"/>
      <c r="O71" s="64"/>
      <c r="P71" s="64"/>
    </row>
    <row r="72" spans="1:16" ht="38.25" x14ac:dyDescent="0.2">
      <c r="A72" s="115">
        <f>IF(D72="","",COUNTIF(B$13:$B72,"l.c"))</f>
        <v>53</v>
      </c>
      <c r="B72" s="115" t="str">
        <f t="shared" si="3"/>
        <v>l.c</v>
      </c>
      <c r="C72" s="144" t="s">
        <v>412</v>
      </c>
      <c r="D72" s="153" t="s">
        <v>109</v>
      </c>
      <c r="E72" s="165">
        <v>1</v>
      </c>
      <c r="F72" s="64"/>
      <c r="G72" s="64"/>
      <c r="H72" s="64"/>
      <c r="I72" s="64"/>
      <c r="J72" s="64"/>
      <c r="K72" s="64"/>
      <c r="L72" s="64"/>
      <c r="M72" s="64"/>
      <c r="N72" s="64"/>
      <c r="O72" s="64"/>
      <c r="P72" s="64"/>
    </row>
    <row r="73" spans="1:16" ht="38.25" x14ac:dyDescent="0.2">
      <c r="A73" s="115">
        <f>IF(D73="","",COUNTIF(B$13:$B73,"l.c"))</f>
        <v>54</v>
      </c>
      <c r="B73" s="115" t="str">
        <f t="shared" si="3"/>
        <v>l.c</v>
      </c>
      <c r="C73" s="144" t="s">
        <v>413</v>
      </c>
      <c r="D73" s="153" t="s">
        <v>109</v>
      </c>
      <c r="E73" s="165">
        <v>1</v>
      </c>
      <c r="F73" s="64"/>
      <c r="G73" s="64"/>
      <c r="H73" s="64"/>
      <c r="I73" s="64"/>
      <c r="J73" s="64"/>
      <c r="K73" s="64"/>
      <c r="L73" s="64"/>
      <c r="M73" s="64"/>
      <c r="N73" s="64"/>
      <c r="O73" s="64"/>
      <c r="P73" s="64"/>
    </row>
    <row r="74" spans="1:16" ht="63.75" x14ac:dyDescent="0.2">
      <c r="A74" s="115">
        <f>IF(D74="","",COUNTIF(B$13:$B74,"l.c"))</f>
        <v>55</v>
      </c>
      <c r="B74" s="115" t="str">
        <f t="shared" si="3"/>
        <v>l.c</v>
      </c>
      <c r="C74" s="144" t="s">
        <v>414</v>
      </c>
      <c r="D74" s="153" t="s">
        <v>109</v>
      </c>
      <c r="E74" s="165">
        <v>2</v>
      </c>
      <c r="F74" s="64"/>
      <c r="G74" s="64"/>
      <c r="H74" s="64"/>
      <c r="I74" s="64"/>
      <c r="J74" s="64"/>
      <c r="K74" s="64"/>
      <c r="L74" s="64"/>
      <c r="M74" s="64"/>
      <c r="N74" s="64"/>
      <c r="O74" s="64"/>
      <c r="P74" s="64"/>
    </row>
    <row r="75" spans="1:16" ht="25.5" x14ac:dyDescent="0.2">
      <c r="A75" s="115">
        <f>IF(D75="","",COUNTIF(B$13:$B75,"l.c"))</f>
        <v>56</v>
      </c>
      <c r="B75" s="115" t="str">
        <f>IF(D75="","","l.c")</f>
        <v>l.c</v>
      </c>
      <c r="C75" s="152" t="s">
        <v>393</v>
      </c>
      <c r="D75" s="153" t="s">
        <v>107</v>
      </c>
      <c r="E75" s="165">
        <v>1</v>
      </c>
      <c r="F75" s="64"/>
      <c r="G75" s="64"/>
      <c r="H75" s="64"/>
      <c r="I75" s="64"/>
      <c r="J75" s="64"/>
      <c r="K75" s="64"/>
      <c r="L75" s="64"/>
      <c r="M75" s="64"/>
      <c r="N75" s="64"/>
      <c r="O75" s="64"/>
      <c r="P75" s="64"/>
    </row>
    <row r="76" spans="1:16" x14ac:dyDescent="0.2">
      <c r="A76" s="71"/>
      <c r="B76" s="212" t="s">
        <v>86</v>
      </c>
      <c r="C76" s="212"/>
      <c r="D76" s="212"/>
      <c r="E76" s="212"/>
      <c r="F76" s="212"/>
      <c r="G76" s="212"/>
      <c r="H76" s="212"/>
      <c r="I76" s="212"/>
      <c r="J76" s="212"/>
      <c r="K76" s="212"/>
      <c r="L76" s="66">
        <f>SUM(L15:L75)</f>
        <v>0</v>
      </c>
      <c r="M76" s="66">
        <f>SUM(M15:M75)</f>
        <v>0</v>
      </c>
      <c r="N76" s="66">
        <f>SUM(N15:N75)</f>
        <v>0</v>
      </c>
      <c r="O76" s="66">
        <f>SUM(O15:O75)</f>
        <v>0</v>
      </c>
      <c r="P76" s="66">
        <f>SUM(P15:P75)</f>
        <v>0</v>
      </c>
    </row>
    <row r="77" spans="1:16" x14ac:dyDescent="0.2">
      <c r="A77" s="5"/>
      <c r="B77" s="5"/>
      <c r="C77" s="9"/>
      <c r="D77" s="4"/>
      <c r="E77" s="4"/>
      <c r="F77" s="5"/>
      <c r="G77" s="5"/>
      <c r="H77" s="5"/>
      <c r="I77" s="5"/>
      <c r="J77" s="5"/>
      <c r="K77" s="5"/>
      <c r="L77" s="5"/>
      <c r="M77" s="5"/>
      <c r="N77" s="5"/>
      <c r="O77" s="5"/>
      <c r="P77" s="5"/>
    </row>
    <row r="78" spans="1:16" x14ac:dyDescent="0.2">
      <c r="A78" s="5"/>
      <c r="B78" s="5"/>
      <c r="C78" s="9"/>
      <c r="D78" s="4"/>
      <c r="E78" s="4"/>
      <c r="F78" s="5"/>
      <c r="G78" s="5"/>
      <c r="H78" s="5"/>
      <c r="I78" s="5"/>
      <c r="J78" s="5"/>
      <c r="K78" s="5"/>
      <c r="L78" s="5"/>
      <c r="M78" s="5"/>
      <c r="N78" s="5"/>
      <c r="O78" s="5"/>
      <c r="P78" s="5"/>
    </row>
    <row r="79" spans="1:16" x14ac:dyDescent="0.2">
      <c r="A79" s="20" t="s">
        <v>9</v>
      </c>
      <c r="B79" s="19"/>
      <c r="C79" s="19"/>
      <c r="D79" s="173"/>
      <c r="E79" s="173"/>
      <c r="F79" s="19"/>
      <c r="G79" s="20"/>
      <c r="H79" s="19"/>
      <c r="I79" s="19"/>
      <c r="J79" s="19"/>
      <c r="K79" s="19"/>
      <c r="L79" s="19"/>
      <c r="M79" s="68"/>
      <c r="N79" s="68"/>
      <c r="O79" s="68"/>
      <c r="P79" s="26"/>
    </row>
    <row r="80" spans="1:16" ht="11.45" customHeight="1" x14ac:dyDescent="0.2">
      <c r="A80" s="20"/>
      <c r="B80" s="202" t="s">
        <v>10</v>
      </c>
      <c r="C80" s="202"/>
      <c r="D80" s="202"/>
      <c r="E80" s="202"/>
      <c r="F80" s="202"/>
      <c r="G80" s="20"/>
      <c r="H80" s="217"/>
      <c r="I80" s="217"/>
      <c r="J80" s="217"/>
      <c r="K80" s="217"/>
      <c r="L80" s="217"/>
      <c r="M80" s="5"/>
      <c r="N80" s="5"/>
      <c r="O80" s="5"/>
      <c r="P80" s="5"/>
    </row>
    <row r="81" spans="1:16" x14ac:dyDescent="0.2">
      <c r="A81" s="20"/>
      <c r="B81" s="69"/>
      <c r="C81" s="69"/>
      <c r="D81" s="174"/>
      <c r="E81" s="174"/>
      <c r="F81" s="69"/>
      <c r="G81" s="20"/>
      <c r="H81" s="69"/>
      <c r="I81" s="69"/>
      <c r="J81" s="69"/>
      <c r="K81" s="69"/>
      <c r="L81" s="69"/>
      <c r="M81" s="5"/>
      <c r="N81" s="5"/>
      <c r="O81" s="5"/>
      <c r="P81" s="5"/>
    </row>
    <row r="82" spans="1:16" x14ac:dyDescent="0.2">
      <c r="A82" s="5" t="str">
        <f>'1-1.DOP'!$A$40</f>
        <v xml:space="preserve">Tāme sastādīta: </v>
      </c>
      <c r="B82" s="4"/>
      <c r="C82" s="5"/>
      <c r="D82" s="4"/>
      <c r="E82" s="4"/>
      <c r="F82" s="5"/>
      <c r="G82" s="5"/>
      <c r="H82" s="5"/>
      <c r="I82" s="5"/>
      <c r="J82" s="5"/>
      <c r="K82" s="5"/>
      <c r="L82" s="5"/>
      <c r="M82" s="5"/>
      <c r="N82" s="5"/>
      <c r="O82" s="5"/>
      <c r="P82" s="5"/>
    </row>
    <row r="83" spans="1:16" x14ac:dyDescent="0.2">
      <c r="A83" s="4"/>
      <c r="B83" s="4"/>
      <c r="C83" s="5"/>
      <c r="D83" s="4"/>
      <c r="E83" s="4"/>
      <c r="F83" s="5"/>
      <c r="G83" s="5"/>
      <c r="H83" s="5"/>
      <c r="I83" s="5"/>
      <c r="J83" s="5"/>
      <c r="K83" s="5"/>
      <c r="L83" s="5"/>
      <c r="M83" s="5"/>
      <c r="N83" s="5"/>
      <c r="O83" s="5"/>
      <c r="P83" s="5"/>
    </row>
    <row r="84" spans="1:16" x14ac:dyDescent="0.2">
      <c r="A84" s="20" t="s">
        <v>87</v>
      </c>
      <c r="B84" s="19"/>
      <c r="C84" s="19"/>
      <c r="D84" s="173"/>
      <c r="E84" s="173"/>
      <c r="F84" s="19"/>
      <c r="G84" s="68"/>
      <c r="H84" s="68"/>
      <c r="I84" s="68"/>
      <c r="J84" s="26"/>
      <c r="K84" s="5"/>
      <c r="L84" s="5"/>
      <c r="M84" s="5"/>
      <c r="N84" s="5"/>
      <c r="O84" s="5"/>
      <c r="P84" s="5"/>
    </row>
    <row r="85" spans="1:16" ht="11.45" customHeight="1" x14ac:dyDescent="0.2">
      <c r="A85" s="20"/>
      <c r="B85" s="217" t="s">
        <v>10</v>
      </c>
      <c r="C85" s="217"/>
      <c r="D85" s="217"/>
      <c r="E85" s="217"/>
      <c r="F85" s="217"/>
      <c r="G85" s="5"/>
      <c r="H85" s="5"/>
      <c r="I85" s="5"/>
      <c r="J85" s="5"/>
      <c r="K85" s="5"/>
      <c r="L85" s="5"/>
      <c r="M85" s="5"/>
      <c r="N85" s="5"/>
      <c r="O85" s="5"/>
      <c r="P85" s="5"/>
    </row>
    <row r="86" spans="1:16" x14ac:dyDescent="0.2">
      <c r="A86" s="4"/>
      <c r="B86" s="4"/>
      <c r="C86" s="5"/>
      <c r="D86" s="4"/>
      <c r="E86" s="4"/>
      <c r="F86" s="5"/>
      <c r="G86" s="5"/>
      <c r="H86" s="5"/>
      <c r="I86" s="5"/>
      <c r="J86" s="5"/>
      <c r="K86" s="5"/>
      <c r="L86" s="5"/>
      <c r="M86" s="5"/>
      <c r="N86" s="5"/>
      <c r="O86" s="5"/>
      <c r="P86" s="5"/>
    </row>
    <row r="87" spans="1:16" x14ac:dyDescent="0.2">
      <c r="A87" s="20" t="s">
        <v>11</v>
      </c>
      <c r="B87" s="20"/>
      <c r="C87" s="4"/>
      <c r="D87" s="4"/>
      <c r="E87" s="4"/>
      <c r="F87" s="5"/>
      <c r="G87" s="5"/>
      <c r="H87" s="5"/>
      <c r="I87" s="5"/>
      <c r="J87" s="5"/>
      <c r="K87" s="5"/>
      <c r="L87" s="5"/>
      <c r="M87" s="5"/>
      <c r="N87" s="5"/>
      <c r="O87" s="5"/>
      <c r="P87" s="5"/>
    </row>
    <row r="88" spans="1:16" x14ac:dyDescent="0.2">
      <c r="A88" s="5"/>
      <c r="B88" s="5"/>
      <c r="C88" s="5"/>
      <c r="D88" s="4"/>
      <c r="E88" s="4"/>
      <c r="F88" s="5"/>
      <c r="G88" s="5"/>
      <c r="H88" s="5"/>
      <c r="I88" s="5"/>
      <c r="J88" s="5"/>
      <c r="K88" s="5"/>
      <c r="L88" s="5"/>
      <c r="M88" s="5"/>
      <c r="N88" s="5"/>
      <c r="O88" s="5"/>
      <c r="P88" s="5"/>
    </row>
    <row r="89" spans="1:16" x14ac:dyDescent="0.2">
      <c r="A89" s="5"/>
      <c r="B89" s="5"/>
      <c r="C89" s="5"/>
      <c r="D89" s="4"/>
      <c r="E89" s="4"/>
      <c r="F89" s="5"/>
      <c r="G89" s="5"/>
      <c r="H89" s="5"/>
      <c r="I89" s="5"/>
      <c r="J89" s="5"/>
      <c r="K89" s="5"/>
      <c r="L89" s="5"/>
      <c r="M89" s="5"/>
      <c r="N89" s="5"/>
      <c r="O89" s="5"/>
      <c r="P89" s="5"/>
    </row>
    <row r="90" spans="1:16" x14ac:dyDescent="0.2">
      <c r="A90" s="213" t="s">
        <v>12</v>
      </c>
      <c r="B90" s="213"/>
      <c r="C90" s="213"/>
      <c r="D90" s="213"/>
      <c r="E90" s="213"/>
      <c r="F90" s="213"/>
      <c r="G90" s="213"/>
      <c r="H90" s="213"/>
      <c r="I90" s="213"/>
      <c r="J90" s="213"/>
      <c r="K90" s="213"/>
      <c r="L90" s="213"/>
      <c r="M90" s="213"/>
      <c r="N90" s="213"/>
      <c r="O90" s="213"/>
      <c r="P90" s="213"/>
    </row>
  </sheetData>
  <sheetProtection selectLockedCells="1" selectUnlockedCells="1"/>
  <mergeCells count="18">
    <mergeCell ref="A7:F7"/>
    <mergeCell ref="A1:Q1"/>
    <mergeCell ref="A2:Q2"/>
    <mergeCell ref="A3:P3"/>
    <mergeCell ref="A5:F5"/>
    <mergeCell ref="A6:F6"/>
    <mergeCell ref="A90:P90"/>
    <mergeCell ref="A11:A12"/>
    <mergeCell ref="B11:B12"/>
    <mergeCell ref="C11:C12"/>
    <mergeCell ref="D11:D12"/>
    <mergeCell ref="E11:E12"/>
    <mergeCell ref="F11:K11"/>
    <mergeCell ref="L11:P11"/>
    <mergeCell ref="B76:K76"/>
    <mergeCell ref="B80:F80"/>
    <mergeCell ref="H80:L80"/>
    <mergeCell ref="B85:F85"/>
  </mergeCells>
  <printOptions horizontalCentered="1"/>
  <pageMargins left="0.78749999999999998" right="0.39374999999999999" top="1.1812499999999999" bottom="0.39374999999999999" header="0.51180555555555551" footer="0.51180555555555551"/>
  <pageSetup paperSize="9" scale="74"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Koptāme</vt:lpstr>
      <vt:lpstr>1.KOPS</vt:lpstr>
      <vt:lpstr>1-1.DOP</vt:lpstr>
      <vt:lpstr>1-2.ZD</vt:lpstr>
      <vt:lpstr>1-3.Govju_kūts</vt:lpstr>
      <vt:lpstr>1-4.GP</vt:lpstr>
      <vt:lpstr>1-5. EL</vt:lpstr>
      <vt:lpstr>1-6. ELT</vt:lpstr>
      <vt:lpstr>1-7. UK</vt:lpstr>
      <vt:lpstr>1-8.UKT</vt:lpstr>
      <vt:lpstr>'1.KOPS'!Print_Area</vt:lpstr>
      <vt:lpstr>'1-3.Govju_kūts'!Print_Area</vt:lpstr>
      <vt:lpstr>'1-1.DOP'!Print_Titles</vt:lpstr>
      <vt:lpstr>'1-2.ZD'!Print_Titles</vt:lpstr>
      <vt:lpstr>'1-3.Govju_kūts'!Print_Titles</vt:lpstr>
      <vt:lpstr>'1-4.GP'!Print_Titles</vt:lpstr>
      <vt:lpstr>'1-5. EL'!Print_Titles</vt:lpstr>
      <vt:lpstr>'1-6. ELT'!Print_Titles</vt:lpstr>
      <vt:lpstr>'1-7. UK'!Print_Titles</vt:lpstr>
      <vt:lpstr>'1-8.UKT'!Print_Titles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Raitis Ence</dc:creator>
  <cp:keywords/>
  <dc:description/>
  <cp:lastModifiedBy>Raitis Ence</cp:lastModifiedBy>
  <cp:revision/>
  <dcterms:created xsi:type="dcterms:W3CDTF">2025-11-12T11:13:27Z</dcterms:created>
  <dcterms:modified xsi:type="dcterms:W3CDTF">2026-02-24T12:42:08Z</dcterms:modified>
  <cp:category/>
  <cp:contentStatus/>
</cp:coreProperties>
</file>