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oymapri-my.sharepoint.com/personal/maris_butkevics_mapri_eu/Documents/Desktop/"/>
    </mc:Choice>
  </mc:AlternateContent>
  <xr:revisionPtr revIDLastSave="0" documentId="8_{D09FA6DE-38B0-41D1-8B78-E5A78DD8AAAD}" xr6:coauthVersionLast="47" xr6:coauthVersionMax="47" xr10:uidLastSave="{00000000-0000-0000-0000-000000000000}"/>
  <bookViews>
    <workbookView xWindow="28680" yWindow="-14070" windowWidth="29040" windowHeight="15720" tabRatio="819" firstSheet="5" activeTab="5" xr2:uid="{00000000-000D-0000-FFFF-FFFF00000000}"/>
  </bookViews>
  <sheets>
    <sheet name="Koptāme" sheetId="15" r:id="rId1"/>
    <sheet name="1.KOPS" sheetId="1" r:id="rId2"/>
    <sheet name="1-1.DOP" sheetId="6" r:id="rId3"/>
    <sheet name="1-2.ZD" sheetId="11" r:id="rId4"/>
    <sheet name="1-3.Govju_kūts" sheetId="23" r:id="rId5"/>
    <sheet name="1-4.GP" sheetId="28" r:id="rId6"/>
    <sheet name="1-5. EL" sheetId="31" r:id="rId7"/>
    <sheet name="1-6. ELT" sheetId="32" r:id="rId8"/>
    <sheet name="1-7. UK" sheetId="33" r:id="rId9"/>
    <sheet name="1-8.UKT" sheetId="34" r:id="rId10"/>
  </sheets>
  <externalReferences>
    <externalReference r:id="rId11"/>
  </externalReferences>
  <definedNames>
    <definedName name="_xlnm.Print_Area" localSheetId="1">'1.KOPS'!$A$1:$H$36</definedName>
    <definedName name="_xlnm.Print_Area" localSheetId="4">'1-3.Govju_kūts'!$A$1:$Q$257</definedName>
    <definedName name="_xlnm.Print_Titles" localSheetId="2">'1-1.DOP'!$11:$13</definedName>
    <definedName name="_xlnm.Print_Titles" localSheetId="3">'1-2.ZD'!$11:$13</definedName>
    <definedName name="_xlnm.Print_Titles" localSheetId="4">'1-3.Govju_kūts'!$11:$13</definedName>
    <definedName name="_xlnm.Print_Titles" localSheetId="5">'1-4.GP'!$11:$13</definedName>
    <definedName name="_xlnm.Print_Titles" localSheetId="6">'1-5. EL'!$11:$13</definedName>
    <definedName name="_xlnm.Print_Titles" localSheetId="7">'1-6. ELT'!$11:$13</definedName>
    <definedName name="_xlnm.Print_Titles" localSheetId="8">'1-7. UK'!$11:$13</definedName>
    <definedName name="_xlnm.Print_Titles" localSheetId="9">'1-8.UKT'!$11:$13</definedName>
    <definedName name="Profiles">[1]Data!$A$2:$A$13</definedName>
    <definedName name="Steel_class">[1]Data!$E$2:$E$8</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9" i="23" l="1"/>
  <c r="E128" i="23"/>
  <c r="E109" i="23"/>
  <c r="E110" i="23"/>
  <c r="E95" i="23"/>
  <c r="E90" i="23"/>
  <c r="E16" i="28"/>
  <c r="E33" i="28"/>
  <c r="E37" i="28"/>
  <c r="E27" i="28"/>
  <c r="E31" i="28"/>
  <c r="B31" i="28"/>
  <c r="B30" i="28"/>
  <c r="B29" i="28"/>
  <c r="B28" i="28"/>
  <c r="E30" i="28"/>
  <c r="E15" i="6"/>
  <c r="E22" i="28"/>
  <c r="E17" i="28"/>
  <c r="E78" i="23"/>
  <c r="E74" i="23"/>
  <c r="E111" i="23"/>
  <c r="E144" i="23"/>
  <c r="E143" i="23"/>
  <c r="E139" i="23"/>
  <c r="E135" i="23"/>
  <c r="E134" i="23"/>
  <c r="E133" i="23"/>
  <c r="E132" i="23"/>
  <c r="E122" i="23"/>
  <c r="B122" i="23"/>
  <c r="B121" i="23"/>
  <c r="A121" i="23"/>
  <c r="E154" i="23"/>
  <c r="E254" i="23"/>
  <c r="B253" i="23"/>
  <c r="E113" i="23"/>
  <c r="M58" i="34"/>
  <c r="N58" i="34"/>
  <c r="O58" i="34"/>
  <c r="P58" i="34"/>
  <c r="L58" i="34"/>
  <c r="B17" i="34"/>
  <c r="B18" i="34"/>
  <c r="B19" i="34"/>
  <c r="B20" i="34"/>
  <c r="B21" i="34"/>
  <c r="B22" i="34"/>
  <c r="B23" i="34"/>
  <c r="B24" i="34"/>
  <c r="B25" i="34"/>
  <c r="B26" i="34"/>
  <c r="B27" i="34"/>
  <c r="B28" i="34"/>
  <c r="B29" i="34"/>
  <c r="B30" i="34"/>
  <c r="A31" i="34"/>
  <c r="B31" i="34"/>
  <c r="B32" i="34"/>
  <c r="B33" i="34"/>
  <c r="B34" i="34"/>
  <c r="B35" i="34"/>
  <c r="B36" i="34"/>
  <c r="B37" i="34"/>
  <c r="B38" i="34"/>
  <c r="B39" i="34"/>
  <c r="B40" i="34"/>
  <c r="B41" i="34"/>
  <c r="B42" i="34"/>
  <c r="B43" i="34"/>
  <c r="B44" i="34"/>
  <c r="A45" i="34"/>
  <c r="B45" i="34"/>
  <c r="B46" i="34"/>
  <c r="B47" i="34"/>
  <c r="B48" i="34"/>
  <c r="B49" i="34"/>
  <c r="B50" i="34"/>
  <c r="B51" i="34"/>
  <c r="B52" i="34"/>
  <c r="B53" i="34"/>
  <c r="B54" i="34"/>
  <c r="B55" i="34"/>
  <c r="B56" i="34"/>
  <c r="E49" i="34"/>
  <c r="E48" i="34"/>
  <c r="E55" i="34" s="1"/>
  <c r="E47" i="34"/>
  <c r="E42" i="34"/>
  <c r="E34" i="34"/>
  <c r="E40" i="34" s="1"/>
  <c r="E33" i="34"/>
  <c r="E21" i="34"/>
  <c r="E20" i="34"/>
  <c r="E23" i="34" s="1"/>
  <c r="E19" i="34"/>
  <c r="E18" i="34"/>
  <c r="E17" i="34"/>
  <c r="E22" i="34" s="1"/>
  <c r="E16" i="34"/>
  <c r="E29" i="28" l="1"/>
  <c r="E28" i="28"/>
  <c r="E39" i="34"/>
  <c r="E54" i="34"/>
  <c r="E68" i="33" l="1"/>
  <c r="E67" i="33"/>
  <c r="E66" i="33"/>
  <c r="E65" i="33"/>
  <c r="E64" i="33"/>
  <c r="E63" i="33"/>
  <c r="E55" i="33"/>
  <c r="E53" i="33"/>
  <c r="A47" i="32"/>
  <c r="B47" i="32"/>
  <c r="A65" i="31"/>
  <c r="B16" i="28"/>
  <c r="A25" i="11"/>
  <c r="A26" i="11" s="1"/>
  <c r="B19" i="28"/>
  <c r="E47" i="28"/>
  <c r="E48" i="28"/>
  <c r="E45" i="28"/>
  <c r="E44" i="28"/>
  <c r="E42" i="28"/>
  <c r="E43" i="28"/>
  <c r="B18" i="28"/>
  <c r="E25" i="28"/>
  <c r="D107" i="23"/>
  <c r="E107" i="23"/>
  <c r="E101" i="23"/>
  <c r="B101" i="23"/>
  <c r="B100" i="23"/>
  <c r="E60" i="23"/>
  <c r="E102" i="23" l="1"/>
  <c r="E96" i="23"/>
  <c r="E24" i="28"/>
  <c r="E62" i="23" l="1"/>
  <c r="E61" i="23"/>
  <c r="E58" i="23"/>
  <c r="E55" i="23"/>
  <c r="E54" i="23"/>
  <c r="E50" i="23"/>
  <c r="E47" i="23"/>
  <c r="E46" i="23"/>
  <c r="E42" i="23"/>
  <c r="E34" i="23"/>
  <c r="E38" i="23"/>
  <c r="E39" i="23"/>
  <c r="E30" i="23"/>
  <c r="E31" i="23"/>
  <c r="E26" i="23"/>
  <c r="E53" i="23"/>
  <c r="E37" i="23"/>
  <c r="E29" i="23"/>
  <c r="E45" i="23"/>
  <c r="E64" i="23"/>
  <c r="E17" i="23"/>
  <c r="E23" i="23" s="1"/>
  <c r="E116" i="23"/>
  <c r="E114" i="23"/>
  <c r="E112" i="23"/>
  <c r="E73" i="23"/>
  <c r="B73" i="23"/>
  <c r="E151" i="23"/>
  <c r="B151" i="23"/>
  <c r="B150" i="23"/>
  <c r="A150" i="23"/>
  <c r="B149" i="23"/>
  <c r="A149" i="23"/>
  <c r="E147" i="23"/>
  <c r="E148" i="23" s="1"/>
  <c r="B148" i="23"/>
  <c r="B147" i="23"/>
  <c r="B146" i="23"/>
  <c r="A146" i="23"/>
  <c r="B145" i="23"/>
  <c r="A145" i="23"/>
  <c r="B144" i="23"/>
  <c r="B143" i="23"/>
  <c r="B142" i="23"/>
  <c r="A142" i="23"/>
  <c r="B141" i="23"/>
  <c r="A141" i="23"/>
  <c r="B125" i="23"/>
  <c r="B124" i="23"/>
  <c r="A124" i="23"/>
  <c r="B123" i="23"/>
  <c r="A123" i="23"/>
  <c r="E120" i="23"/>
  <c r="B247" i="23"/>
  <c r="E225" i="23"/>
  <c r="B228" i="23"/>
  <c r="B218" i="23"/>
  <c r="E215" i="23"/>
  <c r="E204" i="23"/>
  <c r="E194" i="23"/>
  <c r="B197" i="23"/>
  <c r="B187" i="23"/>
  <c r="E184" i="23"/>
  <c r="E190" i="23" s="1"/>
  <c r="D182" i="23"/>
  <c r="B182" i="23" s="1"/>
  <c r="B167" i="23"/>
  <c r="B177" i="23"/>
  <c r="E174" i="23"/>
  <c r="E164" i="23"/>
  <c r="E187" i="23" l="1"/>
  <c r="E218" i="23"/>
  <c r="E213" i="23"/>
  <c r="E227" i="23"/>
  <c r="E176" i="23"/>
  <c r="E196" i="23"/>
  <c r="E156" i="23"/>
  <c r="E166" i="23"/>
  <c r="E65" i="23"/>
  <c r="E18" i="23"/>
  <c r="E22" i="23"/>
  <c r="E207" i="23"/>
  <c r="E206" i="23"/>
  <c r="E221" i="23"/>
  <c r="E217" i="23"/>
  <c r="E208" i="23"/>
  <c r="E186" i="23"/>
  <c r="E177" i="23"/>
  <c r="E182" i="23"/>
  <c r="E180" i="23"/>
  <c r="E167" i="23"/>
  <c r="B59" i="33"/>
  <c r="B60" i="33"/>
  <c r="B61" i="33"/>
  <c r="B62" i="33"/>
  <c r="B63" i="33"/>
  <c r="B64" i="33"/>
  <c r="B65" i="33"/>
  <c r="B66" i="33"/>
  <c r="B67" i="33"/>
  <c r="B68" i="33"/>
  <c r="B69" i="33"/>
  <c r="B70" i="33"/>
  <c r="B71" i="33"/>
  <c r="B72" i="33"/>
  <c r="B73" i="33"/>
  <c r="B74" i="33"/>
  <c r="B58" i="33"/>
  <c r="B57" i="33"/>
  <c r="B56" i="33"/>
  <c r="B55" i="33"/>
  <c r="B54" i="33"/>
  <c r="A62" i="33" l="1"/>
  <c r="B95" i="23" l="1"/>
  <c r="H24" i="1" l="1"/>
  <c r="G24" i="1"/>
  <c r="F24" i="1"/>
  <c r="E24" i="1"/>
  <c r="D24" i="1" l="1"/>
  <c r="P8" i="34" l="1"/>
  <c r="B57" i="34"/>
  <c r="A57" i="34"/>
  <c r="B16" i="34"/>
  <c r="B15" i="34"/>
  <c r="A7" i="34"/>
  <c r="A6" i="34"/>
  <c r="A5" i="34"/>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116" i="23"/>
  <c r="B115" i="23"/>
  <c r="B114" i="23"/>
  <c r="B241" i="23"/>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9" i="32"/>
  <c r="B50" i="32"/>
  <c r="B17" i="31"/>
  <c r="B18" i="31"/>
  <c r="B19" i="31"/>
  <c r="B20" i="31"/>
  <c r="B21" i="31"/>
  <c r="B22" i="31"/>
  <c r="B23" i="31"/>
  <c r="B24" i="3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5" i="31"/>
  <c r="B66" i="31"/>
  <c r="B67" i="31"/>
  <c r="B16" i="31"/>
  <c r="D189" i="23"/>
  <c r="B229" i="23"/>
  <c r="B234" i="23"/>
  <c r="B233" i="23"/>
  <c r="B232" i="23"/>
  <c r="D231" i="23"/>
  <c r="B231" i="23" s="1"/>
  <c r="B230" i="23"/>
  <c r="B227" i="23"/>
  <c r="B226" i="23"/>
  <c r="B224" i="23"/>
  <c r="A224" i="23"/>
  <c r="D199" i="23"/>
  <c r="D210" i="23"/>
  <c r="D220" i="23"/>
  <c r="B220" i="23" s="1"/>
  <c r="B223" i="23"/>
  <c r="B222" i="23"/>
  <c r="E222" i="23"/>
  <c r="B221" i="23"/>
  <c r="E219" i="23"/>
  <c r="B219" i="23"/>
  <c r="B217" i="23"/>
  <c r="B216" i="23"/>
  <c r="E223" i="23"/>
  <c r="B214" i="23"/>
  <c r="A214" i="23"/>
  <c r="E211" i="23"/>
  <c r="E189" i="23"/>
  <c r="D179" i="23"/>
  <c r="E179" i="23"/>
  <c r="D169" i="23"/>
  <c r="E170" i="23"/>
  <c r="D159" i="23"/>
  <c r="E160" i="23"/>
  <c r="E161" i="23" s="1"/>
  <c r="B140" i="23"/>
  <c r="B139" i="23"/>
  <c r="B138" i="23"/>
  <c r="A138" i="23"/>
  <c r="B137" i="23"/>
  <c r="A137" i="23"/>
  <c r="B136" i="23"/>
  <c r="B135" i="23"/>
  <c r="B134" i="23"/>
  <c r="B133" i="23"/>
  <c r="B132" i="23"/>
  <c r="B131" i="23"/>
  <c r="A131" i="23"/>
  <c r="B130" i="23"/>
  <c r="A130" i="23"/>
  <c r="B129" i="23"/>
  <c r="B128" i="23"/>
  <c r="B127" i="23"/>
  <c r="A127" i="23"/>
  <c r="B126" i="23"/>
  <c r="A126" i="23"/>
  <c r="E51" i="23"/>
  <c r="E21" i="23"/>
  <c r="B55" i="23"/>
  <c r="B54" i="23"/>
  <c r="B53" i="23"/>
  <c r="B52" i="23"/>
  <c r="B51" i="23"/>
  <c r="B50" i="23"/>
  <c r="B17" i="28"/>
  <c r="E46" i="28"/>
  <c r="L257" i="23"/>
  <c r="E68" i="23"/>
  <c r="A18" i="34" l="1"/>
  <c r="A17" i="34"/>
  <c r="A40" i="34"/>
  <c r="A51" i="34"/>
  <c r="A21" i="34"/>
  <c r="A30" i="34"/>
  <c r="A20" i="34"/>
  <c r="A43" i="34"/>
  <c r="A33" i="34"/>
  <c r="A56" i="34"/>
  <c r="A36" i="34"/>
  <c r="A55" i="34"/>
  <c r="A35" i="34"/>
  <c r="A34" i="34"/>
  <c r="A49" i="34"/>
  <c r="A39" i="34"/>
  <c r="A29" i="34"/>
  <c r="A44" i="34"/>
  <c r="A24" i="34"/>
  <c r="A53" i="34"/>
  <c r="A37" i="34"/>
  <c r="A27" i="34"/>
  <c r="A50" i="34"/>
  <c r="A46" i="34"/>
  <c r="A19" i="34"/>
  <c r="A23" i="34"/>
  <c r="A52" i="34"/>
  <c r="A42" i="34"/>
  <c r="A32" i="34"/>
  <c r="A22" i="34"/>
  <c r="A26" i="34"/>
  <c r="A25" i="34"/>
  <c r="A48" i="34"/>
  <c r="A38" i="34"/>
  <c r="A28" i="34"/>
  <c r="A47" i="34"/>
  <c r="A41" i="34"/>
  <c r="A54" i="34"/>
  <c r="E232" i="23"/>
  <c r="E233" i="23" s="1"/>
  <c r="E228" i="23"/>
  <c r="E200" i="23"/>
  <c r="E197" i="23"/>
  <c r="A15" i="34"/>
  <c r="A16" i="34"/>
  <c r="E210" i="23"/>
  <c r="E229" i="23"/>
  <c r="E231" i="23"/>
  <c r="E234" i="23"/>
  <c r="E226" i="23"/>
  <c r="E230" i="23"/>
  <c r="E199" i="23"/>
  <c r="E216" i="23"/>
  <c r="E169" i="23"/>
  <c r="E159" i="23"/>
  <c r="E75" i="23" l="1"/>
  <c r="E201" i="23" l="1"/>
  <c r="B244" i="23"/>
  <c r="B94" i="23"/>
  <c r="E106" i="23"/>
  <c r="E79" i="23"/>
  <c r="E27" i="23"/>
  <c r="E43" i="23"/>
  <c r="E35" i="23"/>
  <c r="E35" i="28"/>
  <c r="E34" i="28"/>
  <c r="E38" i="28"/>
  <c r="E80" i="23" l="1"/>
  <c r="E81" i="23"/>
  <c r="E59" i="23"/>
  <c r="E19" i="23"/>
  <c r="E23" i="28"/>
  <c r="L68" i="31"/>
  <c r="B213" i="23"/>
  <c r="B208" i="23"/>
  <c r="E198" i="23"/>
  <c r="E192" i="23"/>
  <c r="E175" i="23"/>
  <c r="E172" i="23"/>
  <c r="B252" i="23"/>
  <c r="A18" i="6"/>
  <c r="A19" i="6"/>
  <c r="A20" i="6"/>
  <c r="A21" i="6" s="1"/>
  <c r="A22" i="6" s="1"/>
  <c r="A23" i="6" s="1"/>
  <c r="A24" i="6" s="1"/>
  <c r="B49" i="28"/>
  <c r="B48" i="28"/>
  <c r="E212" i="23" l="1"/>
  <c r="E205" i="23"/>
  <c r="E202" i="23"/>
  <c r="E191" i="23"/>
  <c r="E195" i="23"/>
  <c r="E188" i="23"/>
  <c r="E185" i="23"/>
  <c r="E178" i="23"/>
  <c r="E181" i="23"/>
  <c r="E171" i="23"/>
  <c r="E165" i="23"/>
  <c r="E168" i="23"/>
  <c r="E158" i="23"/>
  <c r="E155" i="23"/>
  <c r="E162" i="23"/>
  <c r="E157" i="23"/>
  <c r="B90" i="23"/>
  <c r="E86" i="23"/>
  <c r="B240" i="23"/>
  <c r="B239" i="23"/>
  <c r="A239" i="23"/>
  <c r="E209" i="23"/>
  <c r="E66" i="23" l="1"/>
  <c r="N9" i="23" l="1"/>
  <c r="B47" i="28"/>
  <c r="B46" i="28"/>
  <c r="B45" i="28"/>
  <c r="B44" i="28"/>
  <c r="B43" i="28"/>
  <c r="B42" i="28"/>
  <c r="B39" i="28"/>
  <c r="B38" i="28"/>
  <c r="A36" i="28"/>
  <c r="A263" i="23" l="1"/>
  <c r="A34" i="11"/>
  <c r="N9" i="11"/>
  <c r="A42" i="6" l="1"/>
  <c r="N9" i="6"/>
  <c r="N9" i="34" s="1"/>
  <c r="C38" i="1"/>
  <c r="A5" i="6"/>
  <c r="A57" i="28" l="1"/>
  <c r="A58" i="32"/>
  <c r="A82" i="33"/>
  <c r="A74" i="31"/>
  <c r="A64" i="34"/>
  <c r="B75" i="33"/>
  <c r="B20" i="32"/>
  <c r="B19" i="32"/>
  <c r="B18" i="32"/>
  <c r="B17" i="32"/>
  <c r="B16" i="32"/>
  <c r="B256" i="23"/>
  <c r="B255" i="23"/>
  <c r="B254" i="23"/>
  <c r="B251" i="23"/>
  <c r="B250" i="23"/>
  <c r="B249" i="23"/>
  <c r="A249" i="23"/>
  <c r="B248" i="23"/>
  <c r="A248" i="23"/>
  <c r="B246" i="23"/>
  <c r="B245" i="23"/>
  <c r="B243" i="23"/>
  <c r="A243" i="23"/>
  <c r="B238" i="23"/>
  <c r="B237" i="23"/>
  <c r="A237" i="23"/>
  <c r="B236" i="23"/>
  <c r="A236" i="23"/>
  <c r="B235" i="23"/>
  <c r="A235" i="23"/>
  <c r="B212" i="23"/>
  <c r="B211" i="23"/>
  <c r="B210" i="23"/>
  <c r="B209" i="23"/>
  <c r="B207" i="23"/>
  <c r="B206" i="23"/>
  <c r="B205" i="23"/>
  <c r="B203" i="23"/>
  <c r="A203" i="23"/>
  <c r="B202" i="23"/>
  <c r="B201" i="23"/>
  <c r="B200" i="23"/>
  <c r="B199" i="23"/>
  <c r="B198" i="23"/>
  <c r="B196" i="23"/>
  <c r="B195" i="23"/>
  <c r="B193" i="23"/>
  <c r="A193" i="23"/>
  <c r="B192" i="23"/>
  <c r="B191" i="23"/>
  <c r="B190" i="23"/>
  <c r="B189" i="23"/>
  <c r="B188" i="23"/>
  <c r="B186" i="23"/>
  <c r="B185" i="23"/>
  <c r="B183" i="23"/>
  <c r="A183" i="23"/>
  <c r="B181" i="23"/>
  <c r="B180" i="23"/>
  <c r="B179" i="23"/>
  <c r="B178" i="23"/>
  <c r="B176" i="23"/>
  <c r="B175" i="23"/>
  <c r="B173" i="23"/>
  <c r="A173" i="23"/>
  <c r="B172" i="23"/>
  <c r="B171" i="23"/>
  <c r="B170" i="23"/>
  <c r="B169" i="23"/>
  <c r="B168" i="23"/>
  <c r="B166" i="23"/>
  <c r="B165" i="23"/>
  <c r="B163" i="23"/>
  <c r="A163" i="23"/>
  <c r="B162" i="23"/>
  <c r="B161" i="23"/>
  <c r="B160" i="23"/>
  <c r="B159" i="23"/>
  <c r="B158" i="23"/>
  <c r="B157" i="23"/>
  <c r="B156" i="23"/>
  <c r="B155" i="23"/>
  <c r="B153" i="23"/>
  <c r="A153" i="23"/>
  <c r="B152" i="23"/>
  <c r="A152" i="23"/>
  <c r="B120" i="23"/>
  <c r="B119" i="23"/>
  <c r="A119" i="23"/>
  <c r="B118" i="23"/>
  <c r="A118" i="23"/>
  <c r="B117" i="23"/>
  <c r="B113" i="23"/>
  <c r="B112" i="23"/>
  <c r="B111" i="23"/>
  <c r="B109" i="23"/>
  <c r="B108" i="23"/>
  <c r="A108" i="23"/>
  <c r="B106" i="23"/>
  <c r="B105" i="23"/>
  <c r="B104" i="23"/>
  <c r="A104" i="23"/>
  <c r="B103" i="23"/>
  <c r="B102" i="23"/>
  <c r="B99" i="23"/>
  <c r="B98" i="23"/>
  <c r="A98" i="23"/>
  <c r="B97" i="23"/>
  <c r="B96" i="23"/>
  <c r="B93" i="23"/>
  <c r="A93" i="23"/>
  <c r="B92" i="23"/>
  <c r="A92" i="23"/>
  <c r="B91" i="23"/>
  <c r="A91" i="23"/>
  <c r="B89" i="23"/>
  <c r="B88" i="23"/>
  <c r="B87" i="23"/>
  <c r="B86" i="23"/>
  <c r="B85" i="23"/>
  <c r="B84" i="23"/>
  <c r="B83" i="23"/>
  <c r="A83" i="23"/>
  <c r="B81" i="23"/>
  <c r="B80" i="23"/>
  <c r="B79" i="23"/>
  <c r="B78" i="23"/>
  <c r="B77" i="23"/>
  <c r="A77" i="23"/>
  <c r="B76" i="23"/>
  <c r="A76" i="23"/>
  <c r="B75" i="23"/>
  <c r="B74" i="23"/>
  <c r="B72" i="23"/>
  <c r="B71" i="23"/>
  <c r="A71" i="23"/>
  <c r="B70" i="23"/>
  <c r="A70" i="23"/>
  <c r="B69" i="23"/>
  <c r="B68" i="23"/>
  <c r="B67" i="23"/>
  <c r="B66" i="23"/>
  <c r="B65" i="23"/>
  <c r="B63" i="23"/>
  <c r="A63" i="23"/>
  <c r="B62" i="23"/>
  <c r="B61" i="23"/>
  <c r="B60" i="23"/>
  <c r="B59" i="23"/>
  <c r="B58" i="23"/>
  <c r="B56" i="23"/>
  <c r="A56" i="23"/>
  <c r="B47" i="23"/>
  <c r="B46" i="23"/>
  <c r="B45" i="23"/>
  <c r="B44" i="23"/>
  <c r="B43" i="23"/>
  <c r="B42" i="23"/>
  <c r="B39" i="23"/>
  <c r="B38" i="23"/>
  <c r="B37" i="23"/>
  <c r="B36" i="23"/>
  <c r="B35" i="23"/>
  <c r="B34" i="23"/>
  <c r="B32" i="23"/>
  <c r="A32" i="23"/>
  <c r="B31" i="23"/>
  <c r="B30" i="23"/>
  <c r="B29" i="23"/>
  <c r="B28" i="23"/>
  <c r="B27" i="23"/>
  <c r="B26" i="23"/>
  <c r="B24" i="23"/>
  <c r="A24" i="23"/>
  <c r="B23" i="23"/>
  <c r="B22" i="23"/>
  <c r="B21" i="23"/>
  <c r="B20" i="23"/>
  <c r="B19" i="23"/>
  <c r="B18" i="23"/>
  <c r="B16" i="23"/>
  <c r="A16" i="23"/>
  <c r="B15" i="23"/>
  <c r="B34" i="28"/>
  <c r="B32" i="28"/>
  <c r="A32" i="28"/>
  <c r="B25" i="28"/>
  <c r="B24" i="28"/>
  <c r="B23" i="28"/>
  <c r="B21" i="28"/>
  <c r="A21" i="28"/>
  <c r="B15" i="28"/>
  <c r="A31" i="28" s="1"/>
  <c r="A34" i="28" s="1"/>
  <c r="B15" i="31"/>
  <c r="B15" i="32"/>
  <c r="A15" i="32"/>
  <c r="B16" i="33"/>
  <c r="B15" i="33"/>
  <c r="A30" i="28" l="1"/>
  <c r="A29" i="28"/>
  <c r="A28" i="28"/>
  <c r="A63" i="33"/>
  <c r="A57" i="33"/>
  <c r="A67" i="33"/>
  <c r="A68" i="33"/>
  <c r="A64" i="33"/>
  <c r="A54" i="33"/>
  <c r="A74" i="33"/>
  <c r="A61" i="33"/>
  <c r="A66" i="33"/>
  <c r="A59" i="33"/>
  <c r="A58" i="33"/>
  <c r="A73" i="33"/>
  <c r="A72" i="33"/>
  <c r="A71" i="33"/>
  <c r="A70" i="33"/>
  <c r="A60" i="33"/>
  <c r="A69" i="33"/>
  <c r="A65" i="33"/>
  <c r="A55" i="33"/>
  <c r="A56" i="33"/>
  <c r="A16" i="28"/>
  <c r="A18" i="28"/>
  <c r="A19" i="28"/>
  <c r="A100" i="23"/>
  <c r="A101" i="23"/>
  <c r="A73" i="23"/>
  <c r="A49" i="33"/>
  <c r="A18" i="33"/>
  <c r="A48" i="33"/>
  <c r="A38" i="33"/>
  <c r="A28" i="33"/>
  <c r="A46" i="33"/>
  <c r="A26" i="33"/>
  <c r="A47" i="33"/>
  <c r="A22" i="33"/>
  <c r="A45" i="33"/>
  <c r="A35" i="33"/>
  <c r="A25" i="33"/>
  <c r="A40" i="33"/>
  <c r="A30" i="33"/>
  <c r="A20" i="33"/>
  <c r="A31" i="33"/>
  <c r="A21" i="33"/>
  <c r="A44" i="33"/>
  <c r="A34" i="33"/>
  <c r="A24" i="33"/>
  <c r="A50" i="33"/>
  <c r="A33" i="33"/>
  <c r="A23" i="33"/>
  <c r="A39" i="33"/>
  <c r="A29" i="33"/>
  <c r="A17" i="33"/>
  <c r="A19" i="33"/>
  <c r="A36" i="33"/>
  <c r="A42" i="33"/>
  <c r="A32" i="33"/>
  <c r="A37" i="33"/>
  <c r="A27" i="33"/>
  <c r="A41" i="33"/>
  <c r="A43" i="33"/>
  <c r="A95" i="23"/>
  <c r="A17" i="28"/>
  <c r="A21" i="32"/>
  <c r="A22" i="32"/>
  <c r="A23" i="32"/>
  <c r="A25" i="32"/>
  <c r="A49" i="32"/>
  <c r="A28" i="32"/>
  <c r="A42" i="32"/>
  <c r="A45" i="32"/>
  <c r="A50" i="32"/>
  <c r="A32" i="32"/>
  <c r="A41" i="32"/>
  <c r="A38" i="32"/>
  <c r="A27" i="32"/>
  <c r="A26" i="32"/>
  <c r="A37" i="32"/>
  <c r="A36" i="32"/>
  <c r="A24" i="32"/>
  <c r="A34" i="32"/>
  <c r="A33" i="32"/>
  <c r="A40" i="32"/>
  <c r="A31" i="32"/>
  <c r="A39" i="32"/>
  <c r="A29" i="32"/>
  <c r="A30" i="32"/>
  <c r="A44" i="32"/>
  <c r="A46" i="32"/>
  <c r="A43" i="32"/>
  <c r="A35" i="32"/>
  <c r="A52" i="23"/>
  <c r="A50" i="23"/>
  <c r="A55" i="23"/>
  <c r="A51" i="23"/>
  <c r="A54" i="23"/>
  <c r="A53" i="23"/>
  <c r="A15" i="28"/>
  <c r="A25" i="28"/>
  <c r="A35" i="28" s="1"/>
  <c r="A94" i="23"/>
  <c r="A16" i="33"/>
  <c r="A90" i="23"/>
  <c r="A16" i="32"/>
  <c r="A24" i="28"/>
  <c r="A23" i="28"/>
  <c r="A75" i="33"/>
  <c r="A15" i="33"/>
  <c r="A34" i="23"/>
  <c r="A74" i="23"/>
  <c r="A22" i="23"/>
  <c r="A68" i="23"/>
  <c r="A59" i="23"/>
  <c r="A15" i="23"/>
  <c r="A87" i="23"/>
  <c r="A80" i="23"/>
  <c r="A28" i="23"/>
  <c r="A15" i="3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17" i="32"/>
  <c r="A18" i="32"/>
  <c r="A19" i="32"/>
  <c r="A20" i="32"/>
  <c r="A69" i="23"/>
  <c r="A36" i="23"/>
  <c r="A103" i="23"/>
  <c r="A19" i="23"/>
  <c r="A31" i="23"/>
  <c r="A37" i="23"/>
  <c r="A43" i="23"/>
  <c r="A61" i="23"/>
  <c r="A65" i="23"/>
  <c r="A84" i="23"/>
  <c r="A97" i="23"/>
  <c r="A29" i="23"/>
  <c r="A35" i="23"/>
  <c r="A75" i="23"/>
  <c r="A88" i="23"/>
  <c r="A102" i="23"/>
  <c r="A18" i="23"/>
  <c r="A30" i="23"/>
  <c r="A42" i="23"/>
  <c r="A47" i="23"/>
  <c r="A96" i="23"/>
  <c r="A20" i="23"/>
  <c r="A26" i="23"/>
  <c r="A38" i="23"/>
  <c r="A44" i="23"/>
  <c r="A62" i="23"/>
  <c r="A66" i="23"/>
  <c r="A78" i="23"/>
  <c r="A85" i="23"/>
  <c r="A46" i="23"/>
  <c r="A81" i="23"/>
  <c r="A89" i="23"/>
  <c r="A23" i="23"/>
  <c r="A60" i="23"/>
  <c r="A21" i="23"/>
  <c r="A27" i="23"/>
  <c r="A39" i="23"/>
  <c r="A45" i="23"/>
  <c r="A58" i="23"/>
  <c r="A67" i="23"/>
  <c r="A72" i="23"/>
  <c r="A79" i="23"/>
  <c r="A86" i="23"/>
  <c r="A99" i="23"/>
  <c r="A66" i="31" l="1"/>
  <c r="A67" i="31" s="1"/>
  <c r="P28" i="11"/>
  <c r="O28" i="11"/>
  <c r="N28" i="11"/>
  <c r="L28" i="11"/>
  <c r="M28" i="11"/>
  <c r="P257" i="23" l="1"/>
  <c r="P8" i="23" s="1"/>
  <c r="O257" i="23"/>
  <c r="N257" i="23"/>
  <c r="M257" i="23"/>
  <c r="C13" i="31" l="1"/>
  <c r="D13" i="31" s="1"/>
  <c r="E13" i="31" s="1"/>
  <c r="F13" i="31" s="1"/>
  <c r="G13" i="31" s="1"/>
  <c r="H13" i="31" s="1"/>
  <c r="I13" i="31" s="1"/>
  <c r="J13" i="31" s="1"/>
  <c r="K13" i="31" s="1"/>
  <c r="L13" i="31" s="1"/>
  <c r="M13" i="31" s="1"/>
  <c r="N13" i="31" s="1"/>
  <c r="O13" i="31" s="1"/>
  <c r="P13" i="31" s="1"/>
  <c r="N68" i="31" l="1"/>
  <c r="A16" i="6" l="1"/>
  <c r="A17" i="6" s="1"/>
  <c r="E23" i="6"/>
  <c r="E22" i="6"/>
  <c r="A25" i="6" l="1"/>
  <c r="A26" i="6" s="1"/>
  <c r="A27" i="6" s="1"/>
  <c r="A28" i="6" s="1"/>
  <c r="A29" i="6" s="1"/>
  <c r="A30" i="6" s="1"/>
  <c r="A31" i="6" s="1"/>
  <c r="A32" i="6" s="1"/>
  <c r="A33" i="6" s="1"/>
  <c r="A34" i="6" s="1"/>
  <c r="B107" i="23"/>
  <c r="L52" i="32"/>
  <c r="N52" i="32"/>
  <c r="O52" i="32"/>
  <c r="A144" i="23" l="1"/>
  <c r="A148" i="23"/>
  <c r="A140" i="23"/>
  <c r="A133" i="23"/>
  <c r="A134" i="23" s="1"/>
  <c r="A135" i="23" s="1"/>
  <c r="A136" i="23" s="1"/>
  <c r="A245" i="23"/>
  <c r="A107" i="23"/>
  <c r="A105" i="23"/>
  <c r="A109" i="23"/>
  <c r="A106" i="23"/>
  <c r="O68" i="31" l="1"/>
  <c r="M68" i="31"/>
  <c r="P52" i="32"/>
  <c r="P68" i="31" l="1"/>
  <c r="M52" i="32"/>
  <c r="H22" i="1" l="1"/>
  <c r="N9" i="33"/>
  <c r="N9" i="32"/>
  <c r="N9" i="31"/>
  <c r="N9" i="28"/>
  <c r="A7" i="33"/>
  <c r="A6" i="33"/>
  <c r="A5" i="33"/>
  <c r="A7" i="32"/>
  <c r="A6" i="32"/>
  <c r="A5" i="32"/>
  <c r="A7" i="31"/>
  <c r="A6" i="31"/>
  <c r="A5" i="31"/>
  <c r="A7" i="28"/>
  <c r="A6" i="28"/>
  <c r="A5" i="28"/>
  <c r="A7" i="23"/>
  <c r="A6" i="23"/>
  <c r="A5" i="23"/>
  <c r="A7" i="11"/>
  <c r="A6" i="11"/>
  <c r="A5" i="11"/>
  <c r="A7" i="6"/>
  <c r="A6" i="6"/>
  <c r="A8" i="1"/>
  <c r="A7" i="1"/>
  <c r="A6" i="1"/>
  <c r="A18" i="1"/>
  <c r="A19" i="1" s="1"/>
  <c r="A20" i="1" s="1"/>
  <c r="A21" i="1" s="1"/>
  <c r="A22" i="1" s="1"/>
  <c r="A23" i="1" s="1"/>
  <c r="A24" i="1" s="1"/>
  <c r="D35" i="28"/>
  <c r="A16" i="11"/>
  <c r="A17" i="11" s="1"/>
  <c r="A18" i="11" s="1"/>
  <c r="E34" i="6"/>
  <c r="E31" i="6"/>
  <c r="E27" i="6"/>
  <c r="E26" i="6"/>
  <c r="E25" i="6"/>
  <c r="E24" i="6"/>
  <c r="E16" i="6"/>
  <c r="C13" i="32"/>
  <c r="D13" i="32" s="1"/>
  <c r="E13" i="32" s="1"/>
  <c r="P8" i="32"/>
  <c r="G22" i="1"/>
  <c r="F22" i="1"/>
  <c r="E22" i="1"/>
  <c r="B35" i="28" l="1"/>
  <c r="F13" i="32"/>
  <c r="G13" i="32" s="1"/>
  <c r="H13" i="32" s="1"/>
  <c r="I13" i="32" s="1"/>
  <c r="J13" i="32" s="1"/>
  <c r="K13" i="32" s="1"/>
  <c r="L13" i="32" s="1"/>
  <c r="M13" i="32" s="1"/>
  <c r="N13" i="32" s="1"/>
  <c r="O13" i="32" s="1"/>
  <c r="P13" i="32" s="1"/>
  <c r="D22" i="1"/>
  <c r="A48" i="28" l="1"/>
  <c r="A47" i="28"/>
  <c r="A46" i="28"/>
  <c r="A44" i="28"/>
  <c r="A49" i="28"/>
  <c r="A45" i="28"/>
  <c r="A21" i="11"/>
  <c r="A43" i="28"/>
  <c r="A42" i="28"/>
  <c r="A39" i="28"/>
  <c r="A38" i="28"/>
  <c r="L76" i="33"/>
  <c r="H23" i="1" s="1"/>
  <c r="L51" i="28"/>
  <c r="H20" i="1" s="1"/>
  <c r="L36" i="6"/>
  <c r="G18" i="1"/>
  <c r="F18" i="1"/>
  <c r="A22" i="11" l="1"/>
  <c r="N76" i="33"/>
  <c r="F23" i="1" s="1"/>
  <c r="H18" i="1"/>
  <c r="G21" i="1"/>
  <c r="F21" i="1"/>
  <c r="H21" i="1"/>
  <c r="N51" i="28"/>
  <c r="F20" i="1" s="1"/>
  <c r="O51" i="28"/>
  <c r="G20" i="1" s="1"/>
  <c r="P8" i="31" l="1"/>
  <c r="E21" i="1"/>
  <c r="D21" i="1" s="1"/>
  <c r="P51" i="28"/>
  <c r="P8" i="28" s="1"/>
  <c r="M51" i="28"/>
  <c r="E20" i="1" s="1"/>
  <c r="D20" i="1" s="1"/>
  <c r="G19" i="1" l="1"/>
  <c r="F19" i="1" l="1"/>
  <c r="H19" i="1" l="1"/>
  <c r="Q8" i="23" l="1"/>
  <c r="E19" i="1"/>
  <c r="D19" i="1" s="1"/>
  <c r="N36" i="6" l="1"/>
  <c r="F17" i="1" s="1"/>
  <c r="F26" i="1" s="1"/>
  <c r="O36" i="6"/>
  <c r="G17" i="1" s="1"/>
  <c r="P36" i="6" l="1"/>
  <c r="P8" i="6" s="1"/>
  <c r="M36" i="6"/>
  <c r="E17" i="1" s="1"/>
  <c r="H17" i="1"/>
  <c r="H26" i="1" s="1"/>
  <c r="E12" i="1" s="1"/>
  <c r="D17" i="1" l="1"/>
  <c r="O76" i="33" l="1"/>
  <c r="G23" i="1" s="1"/>
  <c r="G26" i="1" s="1"/>
  <c r="M76" i="33"/>
  <c r="E23" i="1" s="1"/>
  <c r="P76" i="33" l="1"/>
  <c r="P8" i="33" s="1"/>
  <c r="D23" i="1"/>
  <c r="P8" i="11" l="1"/>
  <c r="E18" i="1"/>
  <c r="D18" i="1" l="1"/>
  <c r="D26" i="1" s="1"/>
  <c r="D27" i="1" s="1"/>
  <c r="E26" i="1"/>
  <c r="D29" i="1" l="1"/>
  <c r="D28" i="1"/>
  <c r="D30" i="1" l="1"/>
  <c r="E11" i="1" l="1"/>
  <c r="C18" i="15"/>
  <c r="C20" i="15" s="1"/>
</calcChain>
</file>

<file path=xl/sharedStrings.xml><?xml version="1.0" encoding="utf-8"?>
<sst xmlns="http://schemas.openxmlformats.org/spreadsheetml/2006/main" count="1212" uniqueCount="466">
  <si>
    <t>Būvniecības koptāme</t>
  </si>
  <si>
    <t>Objekta nosaukums: Slaucamo govju kūts jaunbūve īpašumā
"Vecsašava"</t>
  </si>
  <si>
    <t>Objekta adrese: Īpašums "Vecsašava", Mālupes pagasts,
Alūksnes novads</t>
  </si>
  <si>
    <t>Pasūtītājs: Z/S "Jaunceriņi"</t>
  </si>
  <si>
    <t>Nr.   p.k.</t>
  </si>
  <si>
    <t>Objekta nosaukums</t>
  </si>
  <si>
    <t>Objekta izmaksas, €</t>
  </si>
  <si>
    <t>Slaucamo govju kūts jaunbūve īpašumā
"Vecsašava"</t>
  </si>
  <si>
    <t>Kopā bez PVN:</t>
  </si>
  <si>
    <t>Sastādīja</t>
  </si>
  <si>
    <t>(paraksts un tā atšifrējums, datums)</t>
  </si>
  <si>
    <t>Sertifikāta nr.</t>
  </si>
  <si>
    <t>Tāme sastādīta: 2025.gada 20. oktobrī</t>
  </si>
  <si>
    <t>DOKUMENTS PARAKSTĪTS AR DROŠU ELEKTRONISKO PARAKSTU UN SATUR LAIKA ZĪMOGU</t>
  </si>
  <si>
    <t>Kopsavilkums Nr. 1</t>
  </si>
  <si>
    <t>Par kopējo summu, EUR</t>
  </si>
  <si>
    <t>Kopējā darbietilpība, c/h</t>
  </si>
  <si>
    <t>Nr.
p.k.</t>
  </si>
  <si>
    <t>Kods,
 tāmes Nr.</t>
  </si>
  <si>
    <t>Darba veids vai
 konstruktīvā 
elementa nosaukums</t>
  </si>
  <si>
    <t xml:space="preserve">Tāmes izmaksas </t>
  </si>
  <si>
    <t>Tai skaitā</t>
  </si>
  <si>
    <t>Darb-
ietilpība
 (c/h)</t>
  </si>
  <si>
    <t>darba alga</t>
  </si>
  <si>
    <t>būvizstrādājumi</t>
  </si>
  <si>
    <t>mehā-
nismi</t>
  </si>
  <si>
    <t>1-1</t>
  </si>
  <si>
    <t>Būvlaukuma izmaksas</t>
  </si>
  <si>
    <t>1-2</t>
  </si>
  <si>
    <t>Zemes darbi</t>
  </si>
  <si>
    <t>1-3</t>
  </si>
  <si>
    <t>Slaucamo govju kūts un šķidrmēslu krātuves izbūve</t>
  </si>
  <si>
    <t>1-4</t>
  </si>
  <si>
    <t>Teritorijas labiekārtošana</t>
  </si>
  <si>
    <t>1-5</t>
  </si>
  <si>
    <t>Iekšējā elektroapgāde</t>
  </si>
  <si>
    <t>1-6</t>
  </si>
  <si>
    <t>Ārējā elektroapgāde</t>
  </si>
  <si>
    <t>1-7</t>
  </si>
  <si>
    <t>Iekšējā ūdensapgāde, kanalizācija</t>
  </si>
  <si>
    <t>1-8</t>
  </si>
  <si>
    <t>Ārējā ūdensapgāde, kanalizācija</t>
  </si>
  <si>
    <t>Kopā:</t>
  </si>
  <si>
    <t>Virsizdevumi (%)</t>
  </si>
  <si>
    <t>t.sk. darba aizsardzība %</t>
  </si>
  <si>
    <t>Peļņa (%)</t>
  </si>
  <si>
    <t>Projekta dokumentācijas komplekts sastāv no projekta rasējumiem un specifikācijas. Būvuzņēmējs dod pilna apjoma tendera cenu piedāvājumu ieskaitot darbus un materiālus, kas nav uzrādīti projektā,bet ir nepieciešami projektēto sistēmu montāžai, palaišanai un nodošanai.</t>
  </si>
  <si>
    <t xml:space="preserve">Pārbaudīja      </t>
  </si>
  <si>
    <t>Lokālā tāme Nr.1-1</t>
  </si>
  <si>
    <t>(būvdarbu veids vai konstruktīvā elementa nosaukums)</t>
  </si>
  <si>
    <t>Tāmes  izmaksas euro</t>
  </si>
  <si>
    <t>N.p.k.</t>
  </si>
  <si>
    <t>Kods</t>
  </si>
  <si>
    <t>Būvdarbu nosaukums</t>
  </si>
  <si>
    <t>Mērvienības</t>
  </si>
  <si>
    <t>Daudzums</t>
  </si>
  <si>
    <t>Vienības izmaksas</t>
  </si>
  <si>
    <t>Kopā uz visu apjomu</t>
  </si>
  <si>
    <t>Laika norma c/h</t>
  </si>
  <si>
    <r>
      <t xml:space="preserve">Darba apmaksas likme, </t>
    </r>
    <r>
      <rPr>
        <sz val="9"/>
        <rFont val="Arial"/>
        <family val="2"/>
      </rPr>
      <t>euro</t>
    </r>
    <r>
      <rPr>
        <i/>
        <sz val="9"/>
        <rFont val="Arial"/>
        <family val="2"/>
      </rPr>
      <t>/h</t>
    </r>
  </si>
  <si>
    <t xml:space="preserve">Darba alga </t>
  </si>
  <si>
    <t xml:space="preserve">Mehānismi </t>
  </si>
  <si>
    <t xml:space="preserve">Kopā, </t>
  </si>
  <si>
    <t>Darbietilpība c/h</t>
  </si>
  <si>
    <t xml:space="preserve">Summa </t>
  </si>
  <si>
    <t>Būvlaukuma sagatavošana</t>
  </si>
  <si>
    <t>l.c.</t>
  </si>
  <si>
    <t>Pagaidu nožogojuma ierīkošana</t>
  </si>
  <si>
    <t>m</t>
  </si>
  <si>
    <t>Pagaidu žoga noma</t>
  </si>
  <si>
    <t xml:space="preserve">Divviru vārti </t>
  </si>
  <si>
    <t>gab</t>
  </si>
  <si>
    <t>Būvlaukuma apsardze</t>
  </si>
  <si>
    <t>mēneši</t>
  </si>
  <si>
    <t>Ugunsdzēsības stends</t>
  </si>
  <si>
    <t>Betona konstrukciju demontāža</t>
  </si>
  <si>
    <t>kpl</t>
  </si>
  <si>
    <t>Esošāš šķūņa demontāža</t>
  </si>
  <si>
    <t>Modulis būvdarbu vadītājam, uzstādīšana, demontāža īre- pārvietojams konteinera tipa 1 gab. 6x2,5m</t>
  </si>
  <si>
    <t>Darbinieku moduļa uzstādīšana, demontāža, īre-  pārvietojama konteinera tipa 1 gab. 6x2,5m</t>
  </si>
  <si>
    <t>Materiālu un inventāra moduļa uzstādīšana, īre, demontāža- pārvietojama konteinera tipa 1 gab. 6x2,5m</t>
  </si>
  <si>
    <t>Būvgružu konteinera uzstādīšana, demontāža un īre 1 gab. 6x3,1m</t>
  </si>
  <si>
    <t xml:space="preserve">Sarga moduļa uzstādīšana, demontāža, īre 1gab. 3x2,5m </t>
  </si>
  <si>
    <t>Biotualete-uzstādīšana, īre-1gab. Pārvietojama 1,65x1,65m</t>
  </si>
  <si>
    <t xml:space="preserve">Pagaidu ceļi un laukumi </t>
  </si>
  <si>
    <t>kompl.</t>
  </si>
  <si>
    <t>Būvtāfeles uzstādīšana</t>
  </si>
  <si>
    <t>Elektro pagaidu ņemšanas vietas ierīkošana</t>
  </si>
  <si>
    <t>Maksa par elektroenerģiju</t>
  </si>
  <si>
    <t>Dežūrapgaismojums</t>
  </si>
  <si>
    <t>Pagaidu ūdens ņemšanas vietas ierīkošan</t>
  </si>
  <si>
    <t>Maksa par ūdeni</t>
  </si>
  <si>
    <t>Tiešās izmaksas kopā, t.sk. Darba devēja sociālais nodoklis 23,59 (%)</t>
  </si>
  <si>
    <t xml:space="preserve">Pārbaudīja   </t>
  </si>
  <si>
    <t>Lokālā tāme Nr.1-2</t>
  </si>
  <si>
    <t>Govju kūts</t>
  </si>
  <si>
    <t>l.c</t>
  </si>
  <si>
    <t xml:space="preserve">Virskārtas norakšana 40cm un izvešana uz pasūtītāja norādītu atbērtni </t>
  </si>
  <si>
    <t>m3</t>
  </si>
  <si>
    <t xml:space="preserve">Būvbedres rakšana, un grunts iekraušana pašizgāzējos ( zem pamatiem, grīdas), liekās grunts izvešana </t>
  </si>
  <si>
    <t>Pamatu aizbēršana ar esošo grunti, blietējot pa kārtām</t>
  </si>
  <si>
    <t>Būvbedres planēšana pēc augstuma atzīmēm</t>
  </si>
  <si>
    <t>kompl</t>
  </si>
  <si>
    <t>Ceļi, laukumi</t>
  </si>
  <si>
    <t>Virskārtas norakšana, to novietojot būvlaukuma malā uzglabāšanai b=40cm</t>
  </si>
  <si>
    <t>Jaunā grāvja izrakšana (nogāžu slīpums 1:1 - 1:1.5)</t>
  </si>
  <si>
    <t xml:space="preserve">m </t>
  </si>
  <si>
    <t>Ugunsdzēsības dīķis</t>
  </si>
  <si>
    <t xml:space="preserve">Dīķa rakšana, un grunts iekraušana pašizgāzējos ( zem pamatiem, grīdas), liekās grunts izvešana </t>
  </si>
  <si>
    <t>Lokālā tāme Nr.1-3</t>
  </si>
  <si>
    <t>Pamatu izbūve</t>
  </si>
  <si>
    <t>Būvasu nospraušana</t>
  </si>
  <si>
    <t>Pamatu pēda P-1</t>
  </si>
  <si>
    <t>gb</t>
  </si>
  <si>
    <t>Šķembu slāņa blietēšana 200mm</t>
  </si>
  <si>
    <t>Šķembas ar piegādi</t>
  </si>
  <si>
    <t>Stiegrojuma uzstādīšana , ieskaitot distancerus</t>
  </si>
  <si>
    <t>kg</t>
  </si>
  <si>
    <t>Vītņstieņu M20 8.8 uzstādīšana</t>
  </si>
  <si>
    <t>Veidņu montāža, demontāža, noma</t>
  </si>
  <si>
    <t>m2</t>
  </si>
  <si>
    <t>Betons C30/37 XC2 ar piegādi un sūknēšanu</t>
  </si>
  <si>
    <t>Pamatu pēda P-2</t>
  </si>
  <si>
    <t>Pamatu pēda P-3</t>
  </si>
  <si>
    <t>Pamatu pēda P-4</t>
  </si>
  <si>
    <t>Pamatu pēda P-5</t>
  </si>
  <si>
    <t>Pamatu pēda P-6</t>
  </si>
  <si>
    <t>Lentveida pamati LP-1</t>
  </si>
  <si>
    <t>Cokolpaneļi</t>
  </si>
  <si>
    <t>Sienas S-3. Trīsslāņu cokolpaneļi ar piegādi un montāžu b=260mm (100mm betons+100mm siltumizolācija+80mm betons)</t>
  </si>
  <si>
    <t>Sienas S-12. Vienslāņu cokolpaneļi ar piegādi un montāžu (b=150mm betons)</t>
  </si>
  <si>
    <t>Horizontālās hidroizolācijas izveide (starp cokolu un koka brusu)</t>
  </si>
  <si>
    <t xml:space="preserve">Skārda lāseņu montāža </t>
  </si>
  <si>
    <t>Ēkas apmale</t>
  </si>
  <si>
    <t xml:space="preserve">Grunts blietēšana </t>
  </si>
  <si>
    <t>Ekstrudēta horizontāla putupolistirola montāža pa ēkas perimetru XPS 100mm</t>
  </si>
  <si>
    <t>Drenējošas smilts slānis virs putupolistirola h=200mm</t>
  </si>
  <si>
    <t>Blietētu šķembu slānis 100mm, fr. 20-40mm</t>
  </si>
  <si>
    <t>Metāla konstrukcija</t>
  </si>
  <si>
    <t>KMD izstrāde</t>
  </si>
  <si>
    <t>Metāla konstrukciju izgatavošana, tai skaitā vēja saites un palīgmateriāli (metīziem ir paredzēti 20%)</t>
  </si>
  <si>
    <t xml:space="preserve">Metāla konstrukciju tīrīšana ar smilšu strūklu līdz Sa2 tīrības pakāpei atbilstoši ISO 8501-1, karstā cinkošana </t>
  </si>
  <si>
    <t>Metāla konstrukciju piegāde līdz objektam un montāža ieskaitot skrūves un paplāksnes, montāžas materiālus</t>
  </si>
  <si>
    <t>Metāla kolonnu nosegšana ar bitumenu no pamata pēdas līdz min 100mm augstumā virs grīdas līmeņa</t>
  </si>
  <si>
    <t>Metāla kolonnu apakšējās daļas apbetonēšana ar bezrukuma javu</t>
  </si>
  <si>
    <t>Tērauda saišu  d15mm (klase S355J2) uzstādīšana</t>
  </si>
  <si>
    <t>Jumta koka konstrukcijas</t>
  </si>
  <si>
    <t>Koka spāres</t>
  </si>
  <si>
    <t>GL 28h koka konstrukciju izgatavošana (spāres 560*140mm)</t>
  </si>
  <si>
    <t>GL 28h koka konstrukciju izgatavošana (spāres 400*140mm)</t>
  </si>
  <si>
    <t xml:space="preserve">Koka konstrukcijas impregnēšana zem spiediena, C3 vides klase </t>
  </si>
  <si>
    <t>Koka konstrukciju montāža, ieskaitot montāžas materiālus</t>
  </si>
  <si>
    <t>Kopturi</t>
  </si>
  <si>
    <t>GL 28h koka konstrukciju izgatavošana (kopturi 225*80mm)</t>
  </si>
  <si>
    <t>GL 28h koka konstrukciju izgatavošana (kopturi 240*100mm)</t>
  </si>
  <si>
    <t>GL 28h koka konstrukciju izgatavošana (kopturi 240*140mm)</t>
  </si>
  <si>
    <t>Koka kopturu impregnēšana zem spiediena C3 vides klase</t>
  </si>
  <si>
    <t>Koka kopturu montāža, tai skaitā brusu kurpes C3 vides klase</t>
  </si>
  <si>
    <t>Koka sijas (aizkariem, fasādes stiprināšanai)</t>
  </si>
  <si>
    <t>Koka siju izgatavošana un piegāde līdz objektam</t>
  </si>
  <si>
    <t>Koka siju impregnēšana zem spiediena C3 vides klase</t>
  </si>
  <si>
    <t>Koka siju montāža, ieskaitot stiprinājumus</t>
  </si>
  <si>
    <t>Jumts</t>
  </si>
  <si>
    <t>J1. Jumta sendvičpaneļu 100mm montāža (bez atgriezumiem)</t>
  </si>
  <si>
    <t>J1. Jumta sendvičpaneļu 60mm montāža (bez atgriezumiem)</t>
  </si>
  <si>
    <t>Vējmalas no skārda</t>
  </si>
  <si>
    <t>Kores ventilācijas lūkas izbūve</t>
  </si>
  <si>
    <t>Jumta kores montāža</t>
  </si>
  <si>
    <t>Jumta tekņu montāža</t>
  </si>
  <si>
    <t>Skārda lāšeņu montāža</t>
  </si>
  <si>
    <t>Jumta noteku montāža</t>
  </si>
  <si>
    <t>Sienas un starpsienas</t>
  </si>
  <si>
    <t>Sienas S-01</t>
  </si>
  <si>
    <t>Sienu sendvičpaneļu 100mm montāža (PIR slānis), ieskaitot noseglementus, stiprinājumus un nepieciešamus palīgmateriālus</t>
  </si>
  <si>
    <t>Sienas S-1.2</t>
  </si>
  <si>
    <t>Sienu sendvičpaneļu 80mm montāža (PIR slānis), ieskaitot noseglementus, stiprinājumus un nepieciešamus palīgmateriālus</t>
  </si>
  <si>
    <t>Sienas S-02</t>
  </si>
  <si>
    <t>Šūnu polikarbonāta paneļu (makrolon) montāža</t>
  </si>
  <si>
    <t>Sienas S-04</t>
  </si>
  <si>
    <t>Sienu S-04 mūrēšana no dobtajiem betona blokiem b=190mm, ieskaitot mūrjavu, stiegras un sienu izšuvošanu</t>
  </si>
  <si>
    <t>Bloku aizbetonēšana ar betonu C25/30, ieskaitot stiegrojuma uzstādīšanu</t>
  </si>
  <si>
    <t>Sienas S-6</t>
  </si>
  <si>
    <t>Sienu S-6 mūrēšana no Fibo blokiem b=150mm, ieskaitot mūrjavu, stiegras</t>
  </si>
  <si>
    <t>Mūra sienu gruntēšana, apmešana</t>
  </si>
  <si>
    <t>Mura sienu gruntēšana, krāsošana</t>
  </si>
  <si>
    <t>Sienu hidroizolacija (divās kārtās krāsojamā hidroizolācija)</t>
  </si>
  <si>
    <t>Sienu flīzēšana, izšuvošana</t>
  </si>
  <si>
    <t>Sienas S-7</t>
  </si>
  <si>
    <t>Sienu S-7 mūrēšana no Fibo blokiem b=150mm, ieskaitot mūrjavu, stiegras un ieskaitot sienu izšuvošanu</t>
  </si>
  <si>
    <t>Mura sienu gruntēšana, krāsošana ar epoksīdkrāsu</t>
  </si>
  <si>
    <t>Sienas S-8</t>
  </si>
  <si>
    <t>Sienu S-8 mūrēšana no Fibo blokiem b=200mm, ieskaitot mūrjavu, stiegras un ieskaitot sienu izšuvošanu</t>
  </si>
  <si>
    <t>Sienas S-9</t>
  </si>
  <si>
    <t>Sienu S-9 mūrēšana no dobtajiem betona blokiem b=190mm, ieskaitot mūrjavu, stiegras un sienu izšuvošanu</t>
  </si>
  <si>
    <t>Sienas S-11</t>
  </si>
  <si>
    <t>Sienu S-11 stiegrošanas, veidņošana, betonēšana b=220mm</t>
  </si>
  <si>
    <t>Grīdas</t>
  </si>
  <si>
    <t>Grīda G-01</t>
  </si>
  <si>
    <t>Blietēts, drenējošs smilšu slānis 300mm</t>
  </si>
  <si>
    <t>Blietēts šķembu slānis (200mm) fr.0-45mm</t>
  </si>
  <si>
    <t>PVC plēve, 0.2mm</t>
  </si>
  <si>
    <t xml:space="preserve">Grīdas stiegrošana ar armatūras sietu, B500B 8/8/200/200 tai skaitā distanceri </t>
  </si>
  <si>
    <t>Grīdu betonēšana ar piegādi un sūknēšanu (betons C30/37 xc2 140mm)</t>
  </si>
  <si>
    <t>Betons C30/37 xc2</t>
  </si>
  <si>
    <t>Slīpēta betona virsma ar grīdas cietinātāju
un epoksīda pārklājumu</t>
  </si>
  <si>
    <t>Grīda G-2</t>
  </si>
  <si>
    <t xml:space="preserve">Grīdas stiegrošana ar armatūras sietu, B500B 6/6/200/200 tai skaitā distanceri </t>
  </si>
  <si>
    <t>Grīdu betonēšana ar piegādi un sūknēšanu (betons C25/30 xc2 100mm)</t>
  </si>
  <si>
    <t>Betons C25/30 xc2</t>
  </si>
  <si>
    <t>Garenvirzienā un diagonāli rievota betona virsma</t>
  </si>
  <si>
    <t>Grīda G-3</t>
  </si>
  <si>
    <t>Grīdu betonēšana ar piegādi un sūknēšanu (betons C25/30 xc2 80mm)</t>
  </si>
  <si>
    <t xml:space="preserve">Betona virsmas slīpēšana </t>
  </si>
  <si>
    <t>Grīda G-4</t>
  </si>
  <si>
    <t>Kvadrātu veidā rievota betona virsma</t>
  </si>
  <si>
    <t>Grīda G-5</t>
  </si>
  <si>
    <t>Grīdu betonēšana ar piegādi un sūknēšanu (betons C30/37 xc2 100mm)</t>
  </si>
  <si>
    <t>Betons C30/37 xc2 b=100mm</t>
  </si>
  <si>
    <t>Grīdu apdare (slīpēts betons/ epoksīda pārklājums/ flīzes)</t>
  </si>
  <si>
    <t>Grīda G-6</t>
  </si>
  <si>
    <t xml:space="preserve">Siltumizolācijas ieklāšana b=100mm </t>
  </si>
  <si>
    <t>Grīdu betonēšana ar piegādi un sūknēšanu (betons C25/30 XC2 100mm)</t>
  </si>
  <si>
    <t>Slīpēta betona virsma ar epoksīda pārklājumu</t>
  </si>
  <si>
    <t>Grīda G-7</t>
  </si>
  <si>
    <t xml:space="preserve">Gluda betona virsma </t>
  </si>
  <si>
    <t>Grīda G-8</t>
  </si>
  <si>
    <t>Grīdu flīzēšana, izšuvošana</t>
  </si>
  <si>
    <t>Logi, durvis, vārti, aizkari</t>
  </si>
  <si>
    <t>Logi</t>
  </si>
  <si>
    <t>PVC logu L-1 1200*1200mm uzstādīšana (PVC logs. 2 stiklu pakete ar selektīvo
pārklājumu. Vērtnes atvēršana uz iekšu 3
stāvokļos (mikroventilācija, atvāžams,
atverams). Vērtnes blīva fiksācija pa
perimetru pie rāmja.)</t>
  </si>
  <si>
    <t>Aizkari</t>
  </si>
  <si>
    <t>PVC aizkaru A-1 izgatavošana, montāža 2845*30000mm</t>
  </si>
  <si>
    <t>PVC aizkaru A-2 izgatavošana, montāža 3415*40140mm</t>
  </si>
  <si>
    <t>Durvis</t>
  </si>
  <si>
    <t>PVC ārdurvuju AD-1 uztādīšana, 900*2200mm, ieskaitot durvju slieksni un durvju furnitŗuu</t>
  </si>
  <si>
    <t>PVC iekšdurvuju D-01 uztādīšana, 900*2100mm, ieskaitot durvju slieksni un durvju furnitŗuu</t>
  </si>
  <si>
    <t>PVC iekšdurvuju D-02 uztādīšana, 800*2100mm, ieskaitot durvju slieksni un durvju furnitŗuu</t>
  </si>
  <si>
    <t>PVC iekšdurvuju D-03 uztādīšana, 1000*2100mm, ieskaitot durvju slieksni un durvju furnitŗuu</t>
  </si>
  <si>
    <t>Vārti</t>
  </si>
  <si>
    <t>V-1 3400x3940  Vārti ar blīvējošām apmalēm, bez sliekšņa, sekciju virsma - stucco reljefs. Manuāla
pacelšana ar aizbīdni iekšpusē. Visi stiprinājumi no nerūsējošā tērauda.</t>
  </si>
  <si>
    <t>V-2 3200x3440 Vārti ar blīvējošām apmalēm, bez sliekšņa, sekciju virsma - stucco reljefs. Manuāla
pacelšana ar aizbīdni iekšpusē. Visi stiprinājumi no nerūsējošā tērauda.</t>
  </si>
  <si>
    <t>V-3 3200x2800 Vārti ar blīvējošām apmalēm, bez sliekšņa, sekciju virsma - stucco reljefs. Manuāla
pacelšana ar aizbīdni iekšpusē. Visi stiprinājumi no nerūsējošā tērauda.</t>
  </si>
  <si>
    <t>V-4 2200x2200 Divviru vārti ar slēdzeni. Vārtu atvēršana uz ārpusi (Vertikāli paceļami sekcijtipa metāla vārti)</t>
  </si>
  <si>
    <t>Vārtu ailu apšuvums ar skārdu</t>
  </si>
  <si>
    <t>Tērauda kolonnu apbetonēšana 1,5m augstumā, apbetonējuma kārtas biezums 100mm</t>
  </si>
  <si>
    <t>Lokālā tāme Nr.1-4</t>
  </si>
  <si>
    <t>Ceļu tehnikas mobilizācija, demobilizācija</t>
  </si>
  <si>
    <t>Esošo drenu likvidēšana</t>
  </si>
  <si>
    <t>Plastmasas caurtekas izbūve d400mm T8 klase</t>
  </si>
  <si>
    <t>Betona aizargbarjera FBS 24-3-6</t>
  </si>
  <si>
    <t>SPK-1 d3200mm mēslu starpkrātuves izbūve h=3m (V=10.60m3), ieskaitot grunts izrakšanas, gruntsūdens pazemināšanas darbus, grunts aizbēršanas darbus)</t>
  </si>
  <si>
    <t>Ceļu segumi</t>
  </si>
  <si>
    <t>Šķembu segums</t>
  </si>
  <si>
    <t>Grunts pamatnes blietēšana</t>
  </si>
  <si>
    <t>Drenējošā kārta no smilts materiāla, K/f&gt;=1, h=30cm (80MPa)</t>
  </si>
  <si>
    <t>Dolomīta šķembu maisījums 0/45, h=25cm, (N-III klase)</t>
  </si>
  <si>
    <t>Betona segums</t>
  </si>
  <si>
    <t>25 cm armēts vai šķiedrbetons, augstas
izturības klase (piemēram, C30/37)</t>
  </si>
  <si>
    <t>Zālājs</t>
  </si>
  <si>
    <t>Zālājs izveide (10cm augu zeme apsēta ar zālāja sēklām)</t>
  </si>
  <si>
    <t>Žogs</t>
  </si>
  <si>
    <t>Žoga uzstādīšana (Metināts, cinkots, PVC pārklāts žogs; 1.5x25m, acs 100c50mm, stieples Ø2.5mm)</t>
  </si>
  <si>
    <t>Divviru vārtu uzstādīšana L=5000mm</t>
  </si>
  <si>
    <t>Šķidrmēslu krātuve</t>
  </si>
  <si>
    <t>Grunts norakšana mehanizēti, ieskaitot gruntsūdens pazemināšanas izmaksas</t>
  </si>
  <si>
    <t>Lagūnas vaļņu veidošana (Lagūnas vaļņu izbūvei paredzēts izmantot gan objektā izraktās grunts materiālus)</t>
  </si>
  <si>
    <t>Drenējošs smilšu slānis 200mm</t>
  </si>
  <si>
    <t>HDPE ģeomembrānas 2mm ieklāšana, tai skaitā ģeotekstils zem membrānas</t>
  </si>
  <si>
    <t>Drenāžas caurule ar kokosa apvalku Ø92/80</t>
  </si>
  <si>
    <t>Drenāžas kontrolakas uzstādīšana</t>
  </si>
  <si>
    <t>Lokālā tāme Nr.1-5</t>
  </si>
  <si>
    <t xml:space="preserve"> Iekšējā elektroapgāde</t>
  </si>
  <si>
    <t>Kontaktligzda 2 vietīga V/A 1/N/PE; 230V; 16A; IP20</t>
  </si>
  <si>
    <t>Kontaktligzda 3 vietīga V/A 1/N/PE; 230V; 16A; IP20</t>
  </si>
  <si>
    <t>Kontaktligzda 4 vietīga V/A 1/N/PE; 230V; 16A; IP20</t>
  </si>
  <si>
    <t>Kontaktligzda V/A 1/N/PE; 230V; 16A; IP44</t>
  </si>
  <si>
    <t>Kontaktligzda V/A 1/N/PE; 230V; 16A; IP65</t>
  </si>
  <si>
    <t>Kontaktligzda V/A 3/N/PE; 380V; 16A; IP65</t>
  </si>
  <si>
    <t>Slēdzis V/A 230V 10A IP44</t>
  </si>
  <si>
    <t>Slēdzis V/A 230V 10A IP65</t>
  </si>
  <si>
    <t>Pārslēdzis V/A 230V 10A IP65</t>
  </si>
  <si>
    <t>Grupu slēdzis V/A 230V 10A IP20</t>
  </si>
  <si>
    <t>Sadalne SS/AS IP44 V/A, 72 moduļi nokomplektēt pēc shēmas</t>
  </si>
  <si>
    <t>Sadalne SS1/AS1 IP65 V/A, 24 moduļi nokomplektēt pēc shēmas</t>
  </si>
  <si>
    <t>Sadalne SS2/AS2 IP65 V/A, 24 moduļi nokomplektēt pēc shēmas</t>
  </si>
  <si>
    <t>Sadalne SS3/AS3 IP65 V/A, 36 moduļi nokomplektēt pēc shēmas</t>
  </si>
  <si>
    <t>Sadalne UPS IP44 V/A, 18 moduļi nokomplektēt pēc shēmas</t>
  </si>
  <si>
    <t>ARI sadalne (iekštelpu) 100A</t>
  </si>
  <si>
    <t>UPS 5 kW 230V</t>
  </si>
  <si>
    <t>Ledvance prož. ar kustības sensru 50W IP65 4000K 6000 lm</t>
  </si>
  <si>
    <t>Ledvance prož. ar kustības sensru 21W IP65 4000K 2400 lm</t>
  </si>
  <si>
    <t>LED plafons IP65; 1600 lm 17W</t>
  </si>
  <si>
    <t>Opple 543022017600;LEDWaterproof-B L1450-50W-4000-WT; 6250 lm; 50W</t>
  </si>
  <si>
    <t>Opple 543022017500; LEDWaterproof-B L1150-36W-4000-WT; 4500 lm; 36W</t>
  </si>
  <si>
    <t>Lena lighting 226663; GAMMA LED 1600 lm 840 (14W); 1600 lm; 17W</t>
  </si>
  <si>
    <t>Evakuācijas moulis IZEJA V/A IP44 1h</t>
  </si>
  <si>
    <t>Evakuācijas moulis IZEJA V/A IP65 1h</t>
  </si>
  <si>
    <t>Kabelis AXMK 4x70</t>
  </si>
  <si>
    <t>Kabelis NYY 5x6</t>
  </si>
  <si>
    <t>Kabelis NYY 5x4</t>
  </si>
  <si>
    <t>Kabelis NYY 3x4</t>
  </si>
  <si>
    <t>Kabelis NYY 5x2,5</t>
  </si>
  <si>
    <t xml:space="preserve">Kabelis NYY 3x2,5 </t>
  </si>
  <si>
    <t xml:space="preserve">Kabelis NYY 3x1,5 </t>
  </si>
  <si>
    <t>Kabelis NYY 5x1,5</t>
  </si>
  <si>
    <t xml:space="preserve">Kabelis NYY 4x1,5 </t>
  </si>
  <si>
    <t>Gofra 450N ∅=40mm</t>
  </si>
  <si>
    <t>Gofra 450N ∅=110mm</t>
  </si>
  <si>
    <t>Cietā instalācijas caurule līdz 25mm</t>
  </si>
  <si>
    <t>Gofrētā instalācijas caurule līdz 25mm</t>
  </si>
  <si>
    <t>Kabeļu gala apdare EPKT 0015</t>
  </si>
  <si>
    <t>Kabeļu gala apdare EPKT 0031</t>
  </si>
  <si>
    <t>Karsti cinkota tērauda lenta 30x3,5mm</t>
  </si>
  <si>
    <t>Izolēt cinkots tērauda apaļdzelzs d=10mm</t>
  </si>
  <si>
    <t>Cinkots tērauda apaļdzelzs d=10mm</t>
  </si>
  <si>
    <t>Plakandzelzs - savienojuma klemme</t>
  </si>
  <si>
    <r>
      <t>Vads - dzeltenzaļš 6mm</t>
    </r>
    <r>
      <rPr>
        <sz val="12.5"/>
        <rFont val="Arial Narrow"/>
        <family val="2"/>
        <charset val="186"/>
      </rPr>
      <t>²</t>
    </r>
  </si>
  <si>
    <r>
      <t>Vads - dzeltenzaļš 16mm</t>
    </r>
    <r>
      <rPr>
        <sz val="12.5"/>
        <rFont val="Arial Narrow"/>
        <family val="2"/>
        <charset val="186"/>
      </rPr>
      <t>²</t>
    </r>
  </si>
  <si>
    <t>Palīgmateriāli</t>
  </si>
  <si>
    <t>Citi darbi</t>
  </si>
  <si>
    <t xml:space="preserve">Kalšanas un štrobēšanas darbi </t>
  </si>
  <si>
    <t>Mērijumu veikšana</t>
  </si>
  <si>
    <t>Izpilddokumentācija</t>
  </si>
  <si>
    <t>objekts</t>
  </si>
  <si>
    <t>Lokālā tāme Nr.1-6</t>
  </si>
  <si>
    <t>Kontaktmērījumu klemme</t>
  </si>
  <si>
    <t xml:space="preserve">Multiklemme </t>
  </si>
  <si>
    <t>Zibens novedējstieple AlMgSi d=8mm</t>
  </si>
  <si>
    <t xml:space="preserve">Stieples striprinājumi </t>
  </si>
  <si>
    <t>Zibens uztvērējs L=2,0m d=16/10mm</t>
  </si>
  <si>
    <t>Zibens uztvērēja stiprinājumi uz jumta kores</t>
  </si>
  <si>
    <t>Izolētā zibens novedējsistēma barības tornim</t>
  </si>
  <si>
    <t>Zemējuma elektrods L=3m</t>
  </si>
  <si>
    <t>Zemējuma elektroda spice</t>
  </si>
  <si>
    <t>Zemējuma elektroda montāžas galva (1 gab. Uz 40)</t>
  </si>
  <si>
    <t>Krustaklemme (zemējuma elektroda pievienošanai)</t>
  </si>
  <si>
    <t>Izolēts cinkota tērauda apaļdzelzs d=10mm</t>
  </si>
  <si>
    <t>Savienojuma klemme plakandzelzs – plakandzelzs</t>
  </si>
  <si>
    <t>Savienojuma klemme plakandzelzs – apaļdzelzs</t>
  </si>
  <si>
    <t>Antikorozijas lenta 50mm 10m rullis</t>
  </si>
  <si>
    <t>Aizsargcaurule gofrēta 750N ∅=110mm</t>
  </si>
  <si>
    <t>Aizsargcaurule gofrēta 450N ∅=63mm</t>
  </si>
  <si>
    <t>Rūpnieciski izgatavots 750N ∅=110mm līkums</t>
  </si>
  <si>
    <t>Kabelis NYY 3x1,5 mm²</t>
  </si>
  <si>
    <t>Kabelis NYY 4x1,0 mm²</t>
  </si>
  <si>
    <t>Kabelis NYY 3x1,0 mm²</t>
  </si>
  <si>
    <t>H07RN-F 5x35 mm² (lokans, melns)</t>
  </si>
  <si>
    <t xml:space="preserve">Ģenerators Elcos GE.AI.066/060 āra tipa </t>
  </si>
  <si>
    <t>Ģeneratora standarta betona pamatne</t>
  </si>
  <si>
    <t>Kabelis AXMK 4x35 mm²</t>
  </si>
  <si>
    <t>Kabelis AXMK 4x70 mm²</t>
  </si>
  <si>
    <t>Kabeļu signāllenta</t>
  </si>
  <si>
    <t>Smiltis</t>
  </si>
  <si>
    <t>Tranšejas rakšana / aizbēršana</t>
  </si>
  <si>
    <t>Elektrisko mērijumu veikšana</t>
  </si>
  <si>
    <t>Izpilddokumentācijas sagatavošana</t>
  </si>
  <si>
    <t>Lokālā tāme Nr.1-7</t>
  </si>
  <si>
    <t>Ūdensapgāde Ū1, Ū3</t>
  </si>
  <si>
    <t>Aukstā/karstā ūdens cauruļvadu PE OD32 SDR11, tai skaitā veidgabalu, montāža</t>
  </si>
  <si>
    <t>Aukstā/karstā ūdens cauruļvadu PE OD25 SDR11, tai skaitā veidgabalu, montāža</t>
  </si>
  <si>
    <t>Aukstā/karstā ūdens daudzslāņu caurules  OD32 PN10, tai skaitā veidgabalu, montāža pie sienas/griestiem</t>
  </si>
  <si>
    <t>Aukstā/karstā ūdens daudzslāņu caurules  OD25 PN10, tai skaitā veidgabalu, montāža pie sienas/griestiem</t>
  </si>
  <si>
    <t>Aukstā/karstā ūdens daudzslāņu caurules  OD20 PN10, tai skaitā veidgabalu, montāža pie sienas/griestiem</t>
  </si>
  <si>
    <t>Aukstā/karstā ūdens daudzslāņu caurules  OD16 PN10, tai skaitā veidgabalu, montāža pie sienas/griestiem</t>
  </si>
  <si>
    <t>Pretkondensāta izolācijas "K-Flex" čaulā 9mm uzstādīšana OD32 caurulei</t>
  </si>
  <si>
    <t>56</t>
  </si>
  <si>
    <t>Pretkondensāta izolācijas "K-Flex" čaulā 9mm uzstādīšana OD25 caurulei</t>
  </si>
  <si>
    <t>6</t>
  </si>
  <si>
    <t>Pretkondensāta izolācijas "K-Flex" čaulā 9mm uzstādīšana OD20 caurulei</t>
  </si>
  <si>
    <t>Pretkondensāta izolācijas "K-Flex" čaulā 9mm uzstādīšana OD16 caurulei</t>
  </si>
  <si>
    <t>9</t>
  </si>
  <si>
    <t xml:space="preserve">Siltumizolācijas izolācijas "K-Flex"  čaulā 19mm uzstādīšana OD32 caurulei </t>
  </si>
  <si>
    <t xml:space="preserve">Siltumizolācijas izolācijas "K-Flex"  čaulā 19mm uzstādīšana OD25 caurulei </t>
  </si>
  <si>
    <t xml:space="preserve">Siltumizolācijas izolācijas "K-Flex"  čaulā 19mm uzstādīšana OD20 caurulei </t>
  </si>
  <si>
    <t xml:space="preserve">Siltumizolācijas izolācijas "K-Flex"  čaulā 19mm uzstādīšana OD16 caurulei </t>
  </si>
  <si>
    <t>Putupolistirola cauruļu izolācijas čaula Tenapors T 35-50</t>
  </si>
  <si>
    <t>Putupolistirola cauruļu izolācijas čaula Tenapors T 28-50</t>
  </si>
  <si>
    <t>Pieslēguma dzirdnei, dzirdnes montāža, ieskaitot noslēgventili 3/4" un laistīšanas krānu DN15</t>
  </si>
  <si>
    <t>kpl.</t>
  </si>
  <si>
    <t>Pieslēguma dzirdnei, dzirdnes montāža, ieskaitot 2gb. noslēgventiļus 1", 1 gb noslēgventili 3/4" un laistīšanas krānu DN15</t>
  </si>
  <si>
    <t>Elektriskais ūdens sildītājs, horizontāls V=100l, ieskaitot noslēgvārstu 3/4", pretvārstu 3/4", drošības vārstu 1/2", noslēgvārstu 1/2"izlaidei</t>
  </si>
  <si>
    <t>Cirkulācijas sūknis aukstajam ūdenim montāža, ieskaitot sietiņfiltru Dn25, aizbīdņus 2gb Dn25, 1gb vienvirziena vārsts Dn25.</t>
  </si>
  <si>
    <t>Stūra ventilis Dn15 (karstā un aukstā ūdens pievadiem-2gb) roku mazgātnēm</t>
  </si>
  <si>
    <t>Noslēgventilis Dn15 poda pieslēgumam</t>
  </si>
  <si>
    <t>Noslēgventilis Dn25 uz ievada, montāža</t>
  </si>
  <si>
    <t>1</t>
  </si>
  <si>
    <t>Noslēgventilis Dn25, montāža</t>
  </si>
  <si>
    <t>12</t>
  </si>
  <si>
    <t>Noslēgventilis Dn16, montāža</t>
  </si>
  <si>
    <t>4</t>
  </si>
  <si>
    <t>Pretvārsts Dn25</t>
  </si>
  <si>
    <t>3</t>
  </si>
  <si>
    <t>Automātiskais atgaisotājs Dn25, montāža</t>
  </si>
  <si>
    <t>2</t>
  </si>
  <si>
    <t>Ūdens sagatavošanas un mīkstināšanas iekārta ar ražību Q=1,0m3/h, ieskaitot vadības sistēmu, apvedlīnija</t>
  </si>
  <si>
    <t>Pieslēgums elektriskajam ūdens sildītājam, ieskaitot 2 noslēgvārstus 1", drošības vārstu, pretvārstu 1"</t>
  </si>
  <si>
    <t>Ūdens rezervuārs V=1,5m3, pieslēgums aukstajam ūdenim</t>
  </si>
  <si>
    <t>Spiediena paaugstināšanas sūknis vai hidrofors, ja esošais artēziskais sūknis nenodrošina 3,5-4 atm spiedienu pie slaukšanas robota</t>
  </si>
  <si>
    <t>Stiprinājumi un montāžas palīgmateriāli</t>
  </si>
  <si>
    <t>Sanitārtehniskās ierīces</t>
  </si>
  <si>
    <t>Kvadrātveida duškabīnes 900x900mm uzstādīšana komplektā ar dušas jaucējkrānu, dušas galvu</t>
  </si>
  <si>
    <t>Keramikas izlietnes ar jaucējkrānu (iztekas garums no 145mm), stiprināmas pie sienas uzstādīšana, ieskaitot sausā tipa vārstu un pievienojuma  fasondaļu komplektu pievienošana pie ūdensvadiem un pie kanalizācijas tīkliem</t>
  </si>
  <si>
    <t>Klozetpoda ar skalošanas tvertni  un pievienojuma  fasondaļu komplektu, uzstādīšana un pievienošana pie ūdensvadiem un pie kanalizācijas tīkliem</t>
  </si>
  <si>
    <t>Hidrauliskās pārbaudes un izpilddokumentācijas sagatavošana</t>
  </si>
  <si>
    <t>Sadzīves kanalizācija K1</t>
  </si>
  <si>
    <t>Plastmasas kanalizācijas cauruļu PP OD110, ieskaitot veidgabalus,  uzstādīšana zem grīdas konstrukcijas gruntī. Cauruļvadu pamatnes sagatavošana un to apbēršana pēc konkrētā caurules ražotāja noteikumiem</t>
  </si>
  <si>
    <t>Plastmasas kanalizācijas cauruļu PP OD50, ieskaitot veidgabalus,  uzstādīšana zem grīdas konstrukcijas gruntī. Cauruļvadu pamatnes sagatavošana un to apbēršana pēc konkrētā caurules ražotāja noteikumiem</t>
  </si>
  <si>
    <t>Plastmasas kanalizācijas cauruļu PP OD110, ieskaitot veidgabalus,  montāža iekārtu pievadiem, gruntī, atklāti vai slēpti sienā</t>
  </si>
  <si>
    <t>Mitrumizturīga ģipškartona konstrukcija stāvvada apšūšanai</t>
  </si>
  <si>
    <t>Vēdināšanas stāvvada montāža no PPHT plastmasas kanalizācijas caurules  OD110 ieskaitot veidgabalus un stiprinājumus sienā, tā apšūšana ar mitrumizturīgo ģipškartona konstrukciju</t>
  </si>
  <si>
    <t>Rūpnieciski ražota ventilācijas izvada uzstādīšana virs jumta caurulei OD110 hermētiski šķērsojot sendvičtipa jumta paneli</t>
  </si>
  <si>
    <t>vieta</t>
  </si>
  <si>
    <t xml:space="preserve">Plastmasas revīzijas OD110 montāža </t>
  </si>
  <si>
    <t>Plastmasas apkalpes lūkas  uzstādīšana pret revīziju ģipškartonā  ieskaitot visus nepieciešamos papildmateriālus</t>
  </si>
  <si>
    <t>Tīrīšanas lūkas Dn100 150mmx150mm, smakas drošas uzstādīšana, ieskaitot visus nepieciešamos veidgabalus</t>
  </si>
  <si>
    <t>Tehnoloģiskā kanalizācija K3</t>
  </si>
  <si>
    <t>Plastmasas kanalizācijas cauruļu PP OD160, ieskaitot veidgabalus,  uzstādīšana zem grīdas konstrukcijas gruntī. Cauruļvadu pamatnes sagatavošana un to apbēršana pēc konkrētā caurules ražotāja noteikumiem</t>
  </si>
  <si>
    <t>Plastmasas kanalizācijas cauruļu PP OD160, ieskaitot veidgabalus,  montāža iekārtu pievadiem, gruntī, atklāti vai slēpti sienā</t>
  </si>
  <si>
    <t>Plastmasas kanalizācijas cauruļu PP OD50, ieskaitot veidgabalus,  montāža iekārtu pievadiem, gruntī, atklāti vai slēpti sienā</t>
  </si>
  <si>
    <t>Vēdināšanas stāvvada montāža no PPHT plastmasas kanalizācijas caurules  OD160 ieskaitot veidgabalus un stiprinājumus sienā</t>
  </si>
  <si>
    <t>Rūpnieciski ražota ventilācijas izvada uzstādīšana virs jumta caurulei OD160 hermētiski šķērsojot sendvičtipa jumta paneli</t>
  </si>
  <si>
    <t xml:space="preserve">Plastmasas revīzijas OD160 montāža </t>
  </si>
  <si>
    <t>Tīrīšanas lūkas Dn160 150mmx150mm, smakas drošas uzstādīšana, ieskaitot visus nepieciešamos veidgabalus</t>
  </si>
  <si>
    <t>Traps, vertikāls ar nerūsējošā tērauda resti, OD110 uzstādīšana, ieskaitot visus nepieciešamos veidgabalus</t>
  </si>
  <si>
    <t>Nerūsējošā tērauda izlietnes ar jaucējkrānu (iztekas garums no 145mm), stiprināmas pie sienas uzstādīšana, ieskaitot sausā tipa vārstu un pievienojuma  fasondaļu komplektu pievienošana pie ūdensvadiem un pie kanalizācijas tīkliem</t>
  </si>
  <si>
    <t>Lokālā tāme Nr.1-8</t>
  </si>
  <si>
    <t>Ārējais ūdensvads</t>
  </si>
  <si>
    <t>Trases nospraušana</t>
  </si>
  <si>
    <t xml:space="preserve">Auglīgā slāņa noņemšana h=20cm un aizvešana (līdz 2km uz pasūtītāja atbērtni),  zaļās zonas atjaunošana </t>
  </si>
  <si>
    <r>
      <t>m</t>
    </r>
    <r>
      <rPr>
        <vertAlign val="superscript"/>
        <sz val="10"/>
        <rFont val="Times New Roman"/>
        <family val="1"/>
        <charset val="186"/>
      </rPr>
      <t>2</t>
    </r>
  </si>
  <si>
    <t>Tranšejas h=līdz 2m rakšana, platums h=1,5m</t>
  </si>
  <si>
    <t>m³</t>
  </si>
  <si>
    <t>Virszemes ūdens atsūknēšana no tranšejas ar drenāžas sūkni (nepieciešamības gadījumā)</t>
  </si>
  <si>
    <t>Grunts ūdens līmeņa pazemināšana ar adatfiltriem cauruļu rakšanas zonā (nepieciešamības gadījumā)</t>
  </si>
  <si>
    <t>Smilts pamatnes ierīkošana zem cauruļvadiem b=0,15 m un cauruļvada apbērums b=0,15 m</t>
  </si>
  <si>
    <t xml:space="preserve">Ūdensapgādes cauruļvada PE OD32, SDR11 montāža tranšejā </t>
  </si>
  <si>
    <t>Tranšejas aizbēršana, blietējot</t>
  </si>
  <si>
    <t xml:space="preserve">Liekās grunts pārvietošana līdz 2km </t>
  </si>
  <si>
    <t xml:space="preserve">Ūdensvada skalošana un dezinfekcija, ieskaitot dezinfekcijai nepieciešamos materiālus, kā arī visas citas nepieciešamās spiedienu pārbaudes </t>
  </si>
  <si>
    <t>obj.</t>
  </si>
  <si>
    <r>
      <t>PEH EM līknis De32 45</t>
    </r>
    <r>
      <rPr>
        <vertAlign val="superscript"/>
        <sz val="10"/>
        <rFont val="Times New Roman"/>
        <family val="1"/>
        <charset val="186"/>
      </rPr>
      <t xml:space="preserve">o  </t>
    </r>
    <r>
      <rPr>
        <sz val="10"/>
        <rFont val="Times New Roman"/>
        <family val="1"/>
        <charset val="186"/>
      </rPr>
      <t>un montāža no 1,8 līdz 2,0m dziļumā</t>
    </r>
  </si>
  <si>
    <t>Ūdensapgādes PE cauruļvadu fasondaļas</t>
  </si>
  <si>
    <t>Pieslēgums pie esošā ūdens urbuma (t.sk.atšurfēšana un aizsardzība)</t>
  </si>
  <si>
    <t>vietas</t>
  </si>
  <si>
    <t>Pamatu šķērsojums ar apvalkcauruli un blīvējuma palīgmateriāliem</t>
  </si>
  <si>
    <t>Šķērsojums ar esošo elektrības kabeli</t>
  </si>
  <si>
    <t>Šķērsojums ar esošo drenāžu</t>
  </si>
  <si>
    <t>Kanalizācija K1, K3</t>
  </si>
  <si>
    <t>Tranšejas h=līdz 1,5m rakšana, platums h=1,5m</t>
  </si>
  <si>
    <t>PP kanalizācijas caurules OD110 SN8 montāža tranšejā</t>
  </si>
  <si>
    <t>PP kanalizācijas caurules OD160 SN8 montāža tranšejā</t>
  </si>
  <si>
    <t>Rūpnieciski ražota dzelzsbetona grodu aka DN1500, siltināta, H=3,0m,  hidroizolēta, ar nerūsējošā tērauda kāpšļiem,  vāku nestspēja 40t iebūvei zaļajā zonā, aizsargčaulu OD160 caurulei, kanalizācijas pretvārstu OD160 caurulei</t>
  </si>
  <si>
    <t>Rūpnieciski ražota dzelzsbetona grodu aka DN1500, siltināta, H=3,0m,  hidroizolēta, ar nerūsējošā tērauda kāpšļiem,  vāku nestspēja 40t iebūvei zaļajā zonā, aizsargčaulu OD110 caurulei, kanalizācijas pretvārstu OD110 caurulei</t>
  </si>
  <si>
    <t xml:space="preserve">Hidrauliskās pārbaudes pašteces caurulēm </t>
  </si>
  <si>
    <t>Pārbaude uz infiltrāciju, pašteces kanalizācijas izpildmērījumi un dokumentācijas sagatavošana</t>
  </si>
  <si>
    <t>Betons C30/37 aku vāku nostiprināšanai</t>
  </si>
  <si>
    <r>
      <t>m</t>
    </r>
    <r>
      <rPr>
        <vertAlign val="superscript"/>
        <sz val="10"/>
        <rFont val="Times New Roman"/>
        <family val="1"/>
        <charset val="186"/>
      </rPr>
      <t>3</t>
    </r>
  </si>
  <si>
    <t>0.5</t>
  </si>
  <si>
    <t>Kanalizācijas spiedvads K1S</t>
  </si>
  <si>
    <t>Tranšejas h=līdz 2,5m rakšana, platums h=1,5m</t>
  </si>
  <si>
    <t xml:space="preserve">Kanalizācijas spiedvada caurules PE OD160, SDR17 montāža tranšejā </t>
  </si>
  <si>
    <t>Aizsargčaulas uzstādīšana OD160 caurulei starpkrātuves betona sienas šķērsošanai</t>
  </si>
  <si>
    <t>Nažveida aizbīdnis DN150, montāža mēslu savākšanas kanālā</t>
  </si>
  <si>
    <t xml:space="preserve">Pretvārsta DN150 uzstādīšana </t>
  </si>
  <si>
    <t>Pāreja PE uzmava/atloks DN150, montāža mēslu savākšanas kanālā</t>
  </si>
  <si>
    <t>Spiedvada hidrauliskā pārbaude, izpildshēmas 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</si>
</sst>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9">
    <font>
      <sz val="11"/>
      <color theme="1"/>
      <name val="Calibri"/>
      <family val="2"/>
      <charset val="186"/>
      <scheme val="minor"/>
    </font>
    <font>
      <sz val="11"/>
      <color theme="1"/>
      <name val="Calibri"/>
      <family val="2"/>
      <charset val="186"/>
      <scheme val="minor"/>
    </font>
    <font>
      <sz val="12"/>
      <name val="Courier"/>
      <family val="1"/>
      <charset val="186"/>
    </font>
    <font>
      <sz val="10"/>
      <name val="Arial"/>
      <family val="2"/>
      <charset val="186"/>
    </font>
    <font>
      <sz val="10"/>
      <name val="Helv"/>
    </font>
    <font>
      <sz val="8"/>
      <name val="Calibri"/>
      <family val="2"/>
      <charset val="186"/>
      <scheme val="minor"/>
    </font>
    <font>
      <sz val="10"/>
      <name val="Times New Roman"/>
      <family val="1"/>
      <charset val="186"/>
    </font>
    <font>
      <sz val="9"/>
      <name val="Arial"/>
      <family val="2"/>
    </font>
    <font>
      <b/>
      <sz val="9"/>
      <name val="Arial"/>
      <family val="2"/>
    </font>
    <font>
      <b/>
      <sz val="9"/>
      <color indexed="8"/>
      <name val="Arial"/>
      <family val="2"/>
    </font>
    <font>
      <sz val="9"/>
      <color theme="1"/>
      <name val="Arial"/>
      <family val="2"/>
    </font>
    <font>
      <i/>
      <sz val="9"/>
      <name val="Arial"/>
      <family val="2"/>
    </font>
    <font>
      <i/>
      <sz val="9"/>
      <color indexed="8"/>
      <name val="Arial"/>
      <family val="2"/>
    </font>
    <font>
      <b/>
      <sz val="9"/>
      <color theme="1"/>
      <name val="Arial"/>
      <family val="2"/>
    </font>
    <font>
      <i/>
      <sz val="9"/>
      <color theme="1"/>
      <name val="Arial"/>
      <family val="2"/>
    </font>
    <font>
      <sz val="9"/>
      <color indexed="8"/>
      <name val="Arial"/>
      <family val="2"/>
    </font>
    <font>
      <b/>
      <i/>
      <sz val="9"/>
      <color indexed="8"/>
      <name val="Arial"/>
      <family val="2"/>
    </font>
    <font>
      <b/>
      <i/>
      <sz val="9"/>
      <name val="Arial"/>
      <family val="2"/>
    </font>
    <font>
      <sz val="11"/>
      <color indexed="8"/>
      <name val="Calibri"/>
      <family val="2"/>
      <charset val="186"/>
    </font>
    <font>
      <sz val="9"/>
      <name val="Arial"/>
      <family val="2"/>
      <charset val="186"/>
    </font>
    <font>
      <sz val="11"/>
      <name val="Arial Narrow"/>
      <family val="2"/>
      <charset val="186"/>
    </font>
    <font>
      <b/>
      <sz val="12"/>
      <name val="Arial Narrow"/>
      <family val="2"/>
      <charset val="186"/>
    </font>
    <font>
      <b/>
      <sz val="10"/>
      <name val="Arial"/>
      <family val="2"/>
      <charset val="186"/>
    </font>
    <font>
      <sz val="12.5"/>
      <name val="Arial Narrow"/>
      <family val="2"/>
      <charset val="186"/>
    </font>
    <font>
      <sz val="10"/>
      <color indexed="64"/>
      <name val="Arial"/>
      <family val="2"/>
      <charset val="186"/>
    </font>
    <font>
      <b/>
      <i/>
      <sz val="10"/>
      <name val="Times New Roman"/>
      <family val="1"/>
      <charset val="186"/>
    </font>
    <font>
      <b/>
      <sz val="10"/>
      <name val="Times New Roman"/>
      <family val="1"/>
      <charset val="186"/>
    </font>
    <font>
      <sz val="10"/>
      <color rgb="FFC00000"/>
      <name val="Times New Roman"/>
      <family val="1"/>
      <charset val="186"/>
    </font>
    <font>
      <vertAlign val="superscript"/>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4">
    <xf numFmtId="0" fontId="0" fillId="0" borderId="0"/>
    <xf numFmtId="0" fontId="2" fillId="0" borderId="0"/>
    <xf numFmtId="0" fontId="3" fillId="0" borderId="0" applyNumberFormat="0" applyFont="0" applyFill="0" applyBorder="0" applyAlignment="0" applyProtection="0">
      <alignment vertical="top"/>
    </xf>
    <xf numFmtId="0" fontId="4" fillId="0" borderId="0"/>
    <xf numFmtId="0" fontId="1" fillId="0" borderId="0"/>
    <xf numFmtId="0" fontId="6"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8" fillId="0" borderId="0"/>
    <xf numFmtId="0" fontId="3" fillId="0" borderId="0"/>
    <xf numFmtId="164" fontId="3" fillId="0" borderId="0" applyFont="0" applyFill="0" applyBorder="0" applyAlignment="0" applyProtection="0"/>
    <xf numFmtId="43" fontId="1" fillId="0" borderId="0" applyFont="0" applyFill="0" applyBorder="0" applyAlignment="0" applyProtection="0"/>
    <xf numFmtId="0" fontId="24" fillId="0" borderId="0"/>
    <xf numFmtId="0" fontId="3" fillId="0" borderId="0"/>
    <xf numFmtId="0" fontId="3" fillId="0" borderId="0"/>
  </cellStyleXfs>
  <cellXfs count="234">
    <xf numFmtId="0" fontId="0" fillId="0" borderId="0" xfId="0"/>
    <xf numFmtId="0" fontId="7" fillId="0" borderId="0" xfId="0" applyFont="1"/>
    <xf numFmtId="0" fontId="7" fillId="0" borderId="0" xfId="0" applyFont="1" applyAlignment="1">
      <alignment wrapText="1"/>
    </xf>
    <xf numFmtId="2" fontId="7" fillId="0" borderId="0" xfId="0" applyNumberFormat="1" applyFont="1" applyAlignment="1">
      <alignment horizontal="left" vertical="center"/>
    </xf>
    <xf numFmtId="0" fontId="7" fillId="0" borderId="0" xfId="0" applyFont="1" applyAlignment="1">
      <alignment horizontal="left" vertical="center"/>
    </xf>
    <xf numFmtId="4" fontId="7" fillId="0" borderId="0" xfId="0" applyNumberFormat="1" applyFont="1" applyAlignment="1">
      <alignment horizontal="center" vertical="center"/>
    </xf>
    <xf numFmtId="0" fontId="7" fillId="0" borderId="0" xfId="15" applyFont="1"/>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xf>
    <xf numFmtId="0" fontId="7" fillId="0" borderId="2" xfId="15" applyFont="1" applyBorder="1"/>
    <xf numFmtId="0" fontId="8" fillId="0" borderId="2" xfId="15" applyFont="1" applyBorder="1" applyAlignment="1">
      <alignment horizontal="right"/>
    </xf>
    <xf numFmtId="4" fontId="8" fillId="0" borderId="2" xfId="15" applyNumberFormat="1" applyFont="1" applyBorder="1" applyAlignment="1">
      <alignment horizontal="center" vertical="center"/>
    </xf>
    <xf numFmtId="0" fontId="7" fillId="0" borderId="2" xfId="15" applyFont="1" applyBorder="1" applyAlignment="1">
      <alignment horizontal="right" vertical="center"/>
    </xf>
    <xf numFmtId="4" fontId="7" fillId="0" borderId="2" xfId="15" applyNumberFormat="1" applyFont="1" applyBorder="1" applyAlignment="1">
      <alignment horizontal="center" vertical="center" wrapText="1"/>
    </xf>
    <xf numFmtId="0" fontId="7" fillId="0" borderId="0" xfId="15" applyFont="1" applyAlignment="1">
      <alignment horizontal="center" vertical="center"/>
    </xf>
    <xf numFmtId="0" fontId="7" fillId="0" borderId="2" xfId="15" applyFont="1" applyBorder="1" applyAlignment="1">
      <alignment horizontal="right" vertical="center" wrapText="1"/>
    </xf>
    <xf numFmtId="4" fontId="8" fillId="0" borderId="2" xfId="15" applyNumberFormat="1" applyFont="1" applyBorder="1" applyAlignment="1">
      <alignment horizontal="center"/>
    </xf>
    <xf numFmtId="4" fontId="7" fillId="0" borderId="0" xfId="15" applyNumberFormat="1" applyFont="1" applyAlignment="1">
      <alignment horizontal="center" vertical="center"/>
    </xf>
    <xf numFmtId="0" fontId="8" fillId="0" borderId="0" xfId="15" applyFont="1" applyAlignment="1">
      <alignment horizontal="right"/>
    </xf>
    <xf numFmtId="4" fontId="8" fillId="0" borderId="0" xfId="15" applyNumberFormat="1" applyFont="1" applyAlignment="1">
      <alignment horizontal="center"/>
    </xf>
    <xf numFmtId="0" fontId="7" fillId="0" borderId="1" xfId="6" applyFont="1" applyBorder="1"/>
    <xf numFmtId="0" fontId="7" fillId="0" borderId="0" xfId="6" applyFont="1"/>
    <xf numFmtId="0" fontId="7" fillId="0" borderId="0" xfId="6" applyFont="1" applyAlignment="1">
      <alignment horizontal="left"/>
    </xf>
    <xf numFmtId="0" fontId="8" fillId="0" borderId="0" xfId="0" applyFont="1"/>
    <xf numFmtId="4" fontId="8" fillId="0" borderId="0" xfId="0" applyNumberFormat="1" applyFont="1" applyAlignment="1">
      <alignment horizontal="center" vertical="center"/>
    </xf>
    <xf numFmtId="0" fontId="7" fillId="0" borderId="0" xfId="15" applyFont="1" applyAlignment="1">
      <alignment horizontal="right"/>
    </xf>
    <xf numFmtId="0" fontId="7" fillId="0" borderId="0" xfId="0" applyFont="1" applyAlignment="1">
      <alignment vertical="center"/>
    </xf>
    <xf numFmtId="0" fontId="8" fillId="0" borderId="0" xfId="0" applyFont="1" applyAlignment="1">
      <alignment vertical="center"/>
    </xf>
    <xf numFmtId="0" fontId="7" fillId="0" borderId="0" xfId="15" applyFont="1" applyAlignment="1">
      <alignment horizontal="center"/>
    </xf>
    <xf numFmtId="0" fontId="7" fillId="0" borderId="1" xfId="6" applyFont="1" applyBorder="1" applyAlignment="1">
      <alignment horizontal="center" vertical="center"/>
    </xf>
    <xf numFmtId="43" fontId="7" fillId="0" borderId="0" xfId="14" applyFont="1"/>
    <xf numFmtId="0" fontId="10" fillId="0" borderId="0" xfId="0" applyFont="1" applyAlignment="1">
      <alignment vertical="center"/>
    </xf>
    <xf numFmtId="0" fontId="8" fillId="0" borderId="2" xfId="0" applyFont="1" applyBorder="1" applyAlignment="1">
      <alignment vertical="center" wrapText="1"/>
    </xf>
    <xf numFmtId="0" fontId="7" fillId="0" borderId="2" xfId="0" applyFont="1" applyBorder="1"/>
    <xf numFmtId="0" fontId="7" fillId="0" borderId="0" xfId="0" applyFont="1" applyAlignment="1">
      <alignment horizontal="center" vertical="center"/>
    </xf>
    <xf numFmtId="4" fontId="10" fillId="0" borderId="2" xfId="0" applyNumberFormat="1" applyFont="1" applyBorder="1" applyAlignment="1">
      <alignment horizontal="center" vertical="center"/>
    </xf>
    <xf numFmtId="0" fontId="7" fillId="0" borderId="2" xfId="0" applyFont="1" applyBorder="1" applyAlignment="1">
      <alignment horizontal="left" vertical="center" wrapText="1"/>
    </xf>
    <xf numFmtId="4" fontId="10" fillId="0" borderId="2" xfId="0" applyNumberFormat="1" applyFont="1" applyBorder="1" applyAlignment="1">
      <alignment horizontal="right" vertical="center"/>
    </xf>
    <xf numFmtId="0" fontId="12" fillId="0" borderId="2" xfId="0" applyFont="1" applyBorder="1" applyAlignment="1">
      <alignment horizontal="center" vertical="center"/>
    </xf>
    <xf numFmtId="0" fontId="10" fillId="0" borderId="2" xfId="0" applyFont="1" applyBorder="1" applyAlignment="1">
      <alignment horizontal="center" vertical="center"/>
    </xf>
    <xf numFmtId="0" fontId="13" fillId="0" borderId="2" xfId="0" applyFont="1" applyBorder="1" applyAlignment="1">
      <alignment horizontal="center" vertical="center" wrapText="1"/>
    </xf>
    <xf numFmtId="16" fontId="13" fillId="0" borderId="2" xfId="0" quotePrefix="1" applyNumberFormat="1" applyFont="1" applyBorder="1" applyAlignment="1">
      <alignment horizontal="center" vertical="center" wrapText="1"/>
    </xf>
    <xf numFmtId="0" fontId="8" fillId="0" borderId="2" xfId="0" applyFont="1" applyBorder="1" applyAlignment="1">
      <alignment horizontal="center" vertical="center" wrapText="1"/>
    </xf>
    <xf numFmtId="2" fontId="7" fillId="0" borderId="2"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8" fillId="0" borderId="0" xfId="1" applyFont="1" applyAlignment="1">
      <alignment horizontal="left" vertical="center" wrapText="1"/>
    </xf>
    <xf numFmtId="0" fontId="8" fillId="0" borderId="0" xfId="0" applyFont="1" applyAlignment="1">
      <alignment horizontal="left" vertical="center"/>
    </xf>
    <xf numFmtId="0" fontId="7" fillId="0" borderId="2" xfId="2" applyFont="1" applyBorder="1" applyAlignment="1">
      <alignment horizontal="center" vertical="center" wrapText="1"/>
    </xf>
    <xf numFmtId="43" fontId="7" fillId="0" borderId="2" xfId="0" applyNumberFormat="1" applyFont="1" applyBorder="1" applyAlignment="1">
      <alignment vertical="center"/>
    </xf>
    <xf numFmtId="0" fontId="7" fillId="0" borderId="2" xfId="0" applyFont="1" applyBorder="1" applyAlignment="1">
      <alignment horizontal="left" vertical="center"/>
    </xf>
    <xf numFmtId="0" fontId="7" fillId="0" borderId="2" xfId="0" applyFont="1" applyBorder="1" applyAlignment="1">
      <alignment horizontal="right" vertical="center" wrapText="1"/>
    </xf>
    <xf numFmtId="0" fontId="8" fillId="0" borderId="0" xfId="1" applyFont="1" applyAlignment="1">
      <alignment horizontal="left" vertical="center"/>
    </xf>
    <xf numFmtId="0" fontId="7" fillId="0" borderId="0" xfId="1" applyFont="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center" vertical="center"/>
    </xf>
    <xf numFmtId="0" fontId="8" fillId="0" borderId="0" xfId="1" applyFont="1" applyAlignment="1">
      <alignment horizontal="center" vertical="center"/>
    </xf>
    <xf numFmtId="0" fontId="12" fillId="0" borderId="0" xfId="0" applyFont="1" applyAlignment="1">
      <alignment horizontal="center" vertical="center"/>
    </xf>
    <xf numFmtId="4" fontId="8" fillId="0" borderId="0" xfId="0" applyNumberFormat="1" applyFont="1" applyAlignment="1">
      <alignment horizontal="center" vertical="center" wrapText="1"/>
    </xf>
    <xf numFmtId="0" fontId="8" fillId="0" borderId="0" xfId="1" applyFont="1" applyAlignment="1">
      <alignment vertical="center" wrapText="1"/>
    </xf>
    <xf numFmtId="0" fontId="8" fillId="0" borderId="0" xfId="0" applyFont="1" applyAlignment="1">
      <alignment horizontal="right" vertical="center"/>
    </xf>
    <xf numFmtId="0" fontId="15" fillId="0" borderId="2" xfId="0" applyFont="1" applyBorder="1" applyAlignment="1">
      <alignment horizontal="center" vertical="center" wrapText="1"/>
    </xf>
    <xf numFmtId="4" fontId="13" fillId="0" borderId="2" xfId="0" applyNumberFormat="1" applyFont="1" applyBorder="1" applyAlignment="1">
      <alignment horizontal="right" vertical="center"/>
    </xf>
    <xf numFmtId="2" fontId="12" fillId="0" borderId="0" xfId="0" applyNumberFormat="1" applyFont="1" applyAlignment="1">
      <alignment horizontal="center" vertical="center"/>
    </xf>
    <xf numFmtId="2" fontId="10" fillId="0" borderId="0" xfId="0" applyNumberFormat="1" applyFont="1" applyAlignment="1">
      <alignment vertical="center"/>
    </xf>
    <xf numFmtId="2" fontId="14" fillId="0" borderId="2" xfId="0" applyNumberFormat="1" applyFont="1" applyBorder="1" applyAlignment="1">
      <alignment horizontal="center" vertical="center"/>
    </xf>
    <xf numFmtId="0" fontId="7" fillId="0" borderId="0" xfId="15" applyFont="1" applyAlignment="1">
      <alignment horizontal="left" vertical="center"/>
    </xf>
    <xf numFmtId="0" fontId="7" fillId="2" borderId="0" xfId="0" applyFont="1" applyFill="1" applyAlignment="1">
      <alignment horizontal="left" vertical="center" wrapText="1"/>
    </xf>
    <xf numFmtId="0" fontId="12" fillId="2" borderId="0" xfId="0" applyFont="1" applyFill="1" applyAlignment="1">
      <alignment horizontal="center" vertical="center"/>
    </xf>
    <xf numFmtId="0" fontId="7" fillId="2" borderId="0" xfId="0" applyFont="1" applyFill="1" applyAlignment="1">
      <alignment vertical="center"/>
    </xf>
    <xf numFmtId="0" fontId="7" fillId="2" borderId="1" xfId="6" applyFont="1" applyFill="1" applyBorder="1"/>
    <xf numFmtId="0" fontId="10" fillId="2" borderId="0" xfId="0" applyFont="1" applyFill="1" applyAlignment="1">
      <alignment vertical="center"/>
    </xf>
    <xf numFmtId="0" fontId="8" fillId="2" borderId="0" xfId="1" applyFont="1" applyFill="1" applyAlignment="1">
      <alignment horizontal="left" vertical="center"/>
    </xf>
    <xf numFmtId="0" fontId="7" fillId="2" borderId="0" xfId="1" applyFont="1" applyFill="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xf>
    <xf numFmtId="0" fontId="8" fillId="2" borderId="0" xfId="1" applyFont="1" applyFill="1" applyAlignment="1">
      <alignment vertical="center" wrapText="1"/>
    </xf>
    <xf numFmtId="0" fontId="8" fillId="2" borderId="0" xfId="1" applyFont="1" applyFill="1" applyAlignment="1">
      <alignment horizontal="center" vertical="center"/>
    </xf>
    <xf numFmtId="0" fontId="8" fillId="2" borderId="0" xfId="0" applyFont="1" applyFill="1" applyAlignment="1">
      <alignment horizontal="right" vertical="center"/>
    </xf>
    <xf numFmtId="4" fontId="8" fillId="2" borderId="0" xfId="0" applyNumberFormat="1" applyFont="1" applyFill="1" applyAlignment="1">
      <alignment horizontal="center" vertical="center" wrapText="1"/>
    </xf>
    <xf numFmtId="0" fontId="7" fillId="2" borderId="0" xfId="15" applyFont="1" applyFill="1" applyAlignment="1">
      <alignment horizontal="right"/>
    </xf>
    <xf numFmtId="0" fontId="7" fillId="2" borderId="0" xfId="15" applyFont="1" applyFill="1" applyAlignment="1">
      <alignment horizontal="left" vertical="center"/>
    </xf>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2" fontId="9" fillId="2" borderId="2" xfId="0" applyNumberFormat="1" applyFont="1" applyFill="1" applyBorder="1" applyAlignment="1">
      <alignment horizontal="center" vertical="center"/>
    </xf>
    <xf numFmtId="4" fontId="10" fillId="2" borderId="2" xfId="0" applyNumberFormat="1" applyFont="1" applyFill="1" applyBorder="1" applyAlignment="1">
      <alignment horizontal="right" vertical="center"/>
    </xf>
    <xf numFmtId="4" fontId="15" fillId="2" borderId="2" xfId="0" applyNumberFormat="1" applyFont="1" applyFill="1" applyBorder="1" applyAlignment="1">
      <alignment horizontal="center" vertical="center" wrapText="1"/>
    </xf>
    <xf numFmtId="4" fontId="15" fillId="2" borderId="2" xfId="0" applyNumberFormat="1" applyFont="1" applyFill="1" applyBorder="1" applyAlignment="1">
      <alignment horizontal="center" vertical="center"/>
    </xf>
    <xf numFmtId="0" fontId="10" fillId="2" borderId="2" xfId="0" applyFont="1" applyFill="1" applyBorder="1" applyAlignment="1">
      <alignment vertical="center"/>
    </xf>
    <xf numFmtId="4" fontId="13" fillId="2" borderId="2" xfId="0" applyNumberFormat="1" applyFont="1" applyFill="1" applyBorder="1" applyAlignment="1">
      <alignment horizontal="right" vertical="center"/>
    </xf>
    <xf numFmtId="0" fontId="8" fillId="2" borderId="0" xfId="0" applyFont="1" applyFill="1" applyAlignment="1">
      <alignment vertical="center"/>
    </xf>
    <xf numFmtId="0" fontId="7" fillId="2" borderId="0" xfId="6" applyFont="1" applyFill="1"/>
    <xf numFmtId="0" fontId="7" fillId="2" borderId="0" xfId="15" applyFont="1" applyFill="1" applyAlignment="1">
      <alignment horizontal="center"/>
    </xf>
    <xf numFmtId="0" fontId="7" fillId="2" borderId="0" xfId="15" applyFont="1" applyFill="1"/>
    <xf numFmtId="0" fontId="7" fillId="2" borderId="0" xfId="0" applyFont="1" applyFill="1"/>
    <xf numFmtId="0" fontId="19" fillId="3" borderId="2" xfId="0" applyFont="1" applyFill="1" applyBorder="1" applyAlignment="1">
      <alignment horizontal="center" vertical="center" wrapText="1"/>
    </xf>
    <xf numFmtId="0" fontId="20" fillId="0" borderId="2" xfId="0" applyFont="1" applyBorder="1" applyAlignment="1">
      <alignment vertical="center"/>
    </xf>
    <xf numFmtId="0" fontId="20" fillId="0" borderId="2" xfId="0" applyFont="1" applyBorder="1" applyAlignment="1">
      <alignment horizontal="center" vertical="center"/>
    </xf>
    <xf numFmtId="0" fontId="20" fillId="0" borderId="2" xfId="0" applyFont="1" applyBorder="1" applyAlignment="1">
      <alignment vertical="center" wrapText="1"/>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7" fillId="0" borderId="0" xfId="15" applyFont="1" applyAlignment="1">
      <alignment horizontal="left"/>
    </xf>
    <xf numFmtId="0" fontId="21" fillId="0" borderId="2" xfId="0" applyFont="1" applyBorder="1"/>
    <xf numFmtId="0" fontId="7" fillId="0" borderId="0" xfId="6" applyFont="1" applyAlignment="1">
      <alignment horizontal="center" vertical="center" wrapText="1"/>
    </xf>
    <xf numFmtId="0" fontId="10" fillId="0" borderId="0" xfId="0" applyFont="1" applyAlignment="1">
      <alignment vertical="center" wrapText="1"/>
    </xf>
    <xf numFmtId="4" fontId="8" fillId="0" borderId="0" xfId="0" applyNumberFormat="1" applyFont="1" applyAlignment="1">
      <alignment horizontal="right" vertical="center"/>
    </xf>
    <xf numFmtId="4" fontId="7" fillId="0" borderId="2" xfId="0" applyNumberFormat="1" applyFont="1" applyBorder="1" applyAlignment="1">
      <alignment horizontal="right" vertical="center"/>
    </xf>
    <xf numFmtId="0" fontId="19" fillId="0" borderId="2" xfId="0" applyFont="1" applyBorder="1" applyAlignment="1">
      <alignment horizontal="center" vertical="center" wrapText="1"/>
    </xf>
    <xf numFmtId="0" fontId="17" fillId="0" borderId="2" xfId="0" applyFont="1" applyBorder="1" applyAlignment="1">
      <alignment horizontal="right" vertical="center" wrapText="1"/>
    </xf>
    <xf numFmtId="0" fontId="17" fillId="0" borderId="2" xfId="0" applyFont="1" applyBorder="1" applyAlignment="1">
      <alignment horizontal="center" vertical="center" wrapText="1"/>
    </xf>
    <xf numFmtId="0" fontId="7" fillId="0" borderId="2" xfId="0" applyFont="1" applyBorder="1" applyAlignment="1">
      <alignment vertical="center" wrapText="1"/>
    </xf>
    <xf numFmtId="0" fontId="16" fillId="0" borderId="2" xfId="0" applyFont="1" applyBorder="1" applyAlignment="1">
      <alignment horizontal="center" vertical="center"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7" fillId="0" borderId="1" xfId="0" applyFont="1" applyBorder="1" applyAlignment="1">
      <alignment vertical="center"/>
    </xf>
    <xf numFmtId="0" fontId="7" fillId="0" borderId="0" xfId="6" applyFont="1" applyAlignment="1">
      <alignment wrapText="1"/>
    </xf>
    <xf numFmtId="0" fontId="21" fillId="0" borderId="2" xfId="0" applyFont="1" applyBorder="1" applyAlignment="1">
      <alignment horizontal="center"/>
    </xf>
    <xf numFmtId="0" fontId="22" fillId="0" borderId="2" xfId="0" applyFont="1" applyBorder="1" applyAlignment="1">
      <alignment vertical="center"/>
    </xf>
    <xf numFmtId="2" fontId="3" fillId="0" borderId="2" xfId="0" applyNumberFormat="1" applyFont="1" applyBorder="1" applyAlignment="1">
      <alignment horizontal="center" vertical="center"/>
    </xf>
    <xf numFmtId="0" fontId="9" fillId="0" borderId="2" xfId="0" applyFont="1" applyBorder="1" applyAlignment="1">
      <alignment horizontal="center" vertical="center"/>
    </xf>
    <xf numFmtId="2" fontId="9" fillId="0" borderId="2" xfId="0" applyNumberFormat="1" applyFont="1" applyBorder="1" applyAlignment="1">
      <alignment horizontal="center" vertical="center"/>
    </xf>
    <xf numFmtId="2" fontId="8" fillId="0" borderId="2" xfId="0" applyNumberFormat="1" applyFont="1" applyBorder="1" applyAlignment="1">
      <alignment vertical="center"/>
    </xf>
    <xf numFmtId="0" fontId="21" fillId="0" borderId="2" xfId="0" applyFont="1" applyBorder="1" applyAlignment="1">
      <alignment horizontal="left"/>
    </xf>
    <xf numFmtId="1" fontId="7" fillId="0" borderId="2" xfId="0" applyNumberFormat="1" applyFont="1" applyBorder="1" applyAlignment="1">
      <alignment horizontal="center" vertical="center"/>
    </xf>
    <xf numFmtId="0" fontId="14" fillId="0" borderId="2" xfId="0" applyFont="1" applyBorder="1" applyAlignment="1">
      <alignment horizontal="center" vertical="center"/>
    </xf>
    <xf numFmtId="0" fontId="8" fillId="0" borderId="2" xfId="0" applyFont="1" applyBorder="1" applyAlignment="1">
      <alignment horizontal="center" vertical="center"/>
    </xf>
    <xf numFmtId="0" fontId="20" fillId="0" borderId="2" xfId="0" applyFont="1" applyBorder="1" applyAlignment="1">
      <alignment wrapText="1"/>
    </xf>
    <xf numFmtId="0" fontId="20" fillId="0" borderId="2" xfId="0" applyFont="1" applyBorder="1" applyAlignment="1">
      <alignment horizontal="left"/>
    </xf>
    <xf numFmtId="2" fontId="10" fillId="0" borderId="0" xfId="0" applyNumberFormat="1" applyFont="1" applyAlignment="1">
      <alignment horizontal="center" vertical="center"/>
    </xf>
    <xf numFmtId="0" fontId="9" fillId="0" borderId="2" xfId="0" applyFont="1" applyBorder="1" applyAlignment="1">
      <alignment horizontal="center" vertical="center" wrapText="1"/>
    </xf>
    <xf numFmtId="2" fontId="17" fillId="0" borderId="2" xfId="0" applyNumberFormat="1" applyFont="1" applyBorder="1" applyAlignment="1">
      <alignment horizontal="center" vertical="center"/>
    </xf>
    <xf numFmtId="0" fontId="7" fillId="0" borderId="2" xfId="0" applyFont="1" applyBorder="1" applyAlignment="1">
      <alignment wrapText="1"/>
    </xf>
    <xf numFmtId="2" fontId="7" fillId="0" borderId="2" xfId="0" applyNumberFormat="1" applyFont="1" applyBorder="1" applyAlignment="1">
      <alignment wrapText="1"/>
    </xf>
    <xf numFmtId="0" fontId="20" fillId="2" borderId="2" xfId="9" applyFont="1" applyFill="1" applyBorder="1" applyAlignment="1">
      <alignment horizontal="center" vertical="center"/>
    </xf>
    <xf numFmtId="0" fontId="20" fillId="2" borderId="2" xfId="9" applyFont="1" applyFill="1" applyBorder="1" applyAlignment="1">
      <alignment vertical="center"/>
    </xf>
    <xf numFmtId="0" fontId="20" fillId="2" borderId="2" xfId="9" applyFont="1" applyFill="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2" fontId="6" fillId="0" borderId="4" xfId="0" applyNumberFormat="1" applyFont="1" applyBorder="1" applyAlignment="1">
      <alignment horizontal="center" vertical="center"/>
    </xf>
    <xf numFmtId="0" fontId="6" fillId="0" borderId="2" xfId="21" applyFont="1" applyBorder="1" applyAlignment="1">
      <alignment horizontal="left" vertical="center" wrapText="1"/>
    </xf>
    <xf numFmtId="49" fontId="6" fillId="0" borderId="2" xfId="22" applyNumberFormat="1" applyFont="1" applyBorder="1" applyAlignment="1">
      <alignment horizontal="center" vertical="center"/>
    </xf>
    <xf numFmtId="0" fontId="6" fillId="0" borderId="2" xfId="22" applyFont="1" applyBorder="1" applyAlignment="1">
      <alignment horizontal="center" vertical="center"/>
    </xf>
    <xf numFmtId="0" fontId="6" fillId="0" borderId="2" xfId="0" applyFont="1" applyBorder="1" applyAlignment="1">
      <alignment horizontal="left" wrapText="1"/>
    </xf>
    <xf numFmtId="2"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7" applyFont="1" applyBorder="1" applyAlignment="1">
      <alignment vertical="center" wrapText="1"/>
    </xf>
    <xf numFmtId="0" fontId="6" fillId="0" borderId="2" xfId="21" applyFont="1" applyBorder="1" applyAlignment="1">
      <alignment horizontal="center" vertical="center" wrapText="1"/>
    </xf>
    <xf numFmtId="1" fontId="6" fillId="0" borderId="2" xfId="7" applyNumberFormat="1" applyFont="1" applyBorder="1" applyAlignment="1">
      <alignment horizontal="center" vertical="center"/>
    </xf>
    <xf numFmtId="49" fontId="6" fillId="0" borderId="2" xfId="22" applyNumberFormat="1" applyFont="1" applyBorder="1" applyAlignment="1">
      <alignment horizontal="left" vertical="center"/>
    </xf>
    <xf numFmtId="0" fontId="6" fillId="0" borderId="2" xfId="21" applyFont="1" applyBorder="1" applyAlignment="1">
      <alignment horizontal="left" vertical="top" wrapText="1"/>
    </xf>
    <xf numFmtId="0" fontId="6" fillId="0" borderId="2" xfId="21" applyFont="1" applyBorder="1" applyAlignment="1">
      <alignment horizontal="center" vertical="center"/>
    </xf>
    <xf numFmtId="0" fontId="6" fillId="0" borderId="2" xfId="21" applyFont="1" applyBorder="1" applyAlignment="1">
      <alignment vertical="center"/>
    </xf>
    <xf numFmtId="0" fontId="25" fillId="0" borderId="2" xfId="7" applyFont="1" applyBorder="1" applyAlignment="1">
      <alignment horizontal="center" vertical="center" wrapText="1"/>
    </xf>
    <xf numFmtId="0" fontId="26" fillId="0" borderId="2" xfId="7" applyFont="1" applyBorder="1" applyAlignment="1">
      <alignment vertical="center" wrapText="1"/>
    </xf>
    <xf numFmtId="0" fontId="26" fillId="0" borderId="2" xfId="7"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49" fontId="25" fillId="0" borderId="2" xfId="22" applyNumberFormat="1" applyFont="1" applyBorder="1" applyAlignment="1">
      <alignment horizontal="center" vertical="center"/>
    </xf>
    <xf numFmtId="49" fontId="25" fillId="0" borderId="2" xfId="22" applyNumberFormat="1" applyFont="1" applyBorder="1" applyAlignment="1">
      <alignment vertical="center"/>
    </xf>
    <xf numFmtId="0" fontId="6" fillId="0" borderId="2" xfId="13" applyFont="1" applyBorder="1" applyAlignment="1">
      <alignment vertical="center" wrapText="1"/>
    </xf>
    <xf numFmtId="0" fontId="6" fillId="0" borderId="2" xfId="7" applyFont="1" applyBorder="1" applyAlignment="1">
      <alignment horizontal="left" vertical="center" wrapText="1"/>
    </xf>
    <xf numFmtId="0" fontId="6" fillId="0" borderId="2" xfId="7" applyFont="1" applyBorder="1" applyAlignment="1">
      <alignment horizontal="center" vertical="center"/>
    </xf>
    <xf numFmtId="0" fontId="6" fillId="0" borderId="2" xfId="7" applyFont="1" applyBorder="1" applyAlignment="1">
      <alignment horizontal="center" vertical="center" wrapText="1"/>
    </xf>
    <xf numFmtId="0" fontId="27" fillId="0" borderId="0" xfId="0" applyFont="1" applyAlignment="1">
      <alignment vertical="center"/>
    </xf>
    <xf numFmtId="0" fontId="6" fillId="0" borderId="2" xfId="23" applyFont="1" applyBorder="1" applyAlignment="1">
      <alignment horizontal="center" vertical="center" wrapText="1"/>
    </xf>
    <xf numFmtId="0" fontId="6" fillId="0" borderId="2" xfId="0" applyFont="1" applyBorder="1" applyAlignment="1">
      <alignment horizontal="center"/>
    </xf>
    <xf numFmtId="2" fontId="6" fillId="0" borderId="2" xfId="0" applyNumberFormat="1" applyFont="1" applyBorder="1" applyAlignment="1">
      <alignment horizontal="center"/>
    </xf>
    <xf numFmtId="0" fontId="6" fillId="0" borderId="2" xfId="22" applyFont="1" applyBorder="1" applyAlignment="1">
      <alignment horizontal="left" vertical="center" wrapText="1"/>
    </xf>
    <xf numFmtId="0" fontId="6" fillId="0" borderId="2" xfId="6" applyFont="1" applyBorder="1" applyAlignment="1">
      <alignment horizontal="center" vertical="center"/>
    </xf>
    <xf numFmtId="1" fontId="6" fillId="0" borderId="2" xfId="6" applyNumberFormat="1" applyFont="1" applyBorder="1" applyAlignment="1">
      <alignment horizontal="center" vertical="center"/>
    </xf>
    <xf numFmtId="0" fontId="6" fillId="0" borderId="2" xfId="6" applyFont="1" applyBorder="1" applyAlignment="1">
      <alignment horizontal="left" vertical="center"/>
    </xf>
    <xf numFmtId="49" fontId="6" fillId="0" borderId="2" xfId="22" applyNumberFormat="1" applyFont="1" applyBorder="1" applyAlignment="1">
      <alignment horizontal="left" vertical="center" wrapText="1"/>
    </xf>
    <xf numFmtId="1" fontId="6" fillId="0" borderId="2" xfId="22" applyNumberFormat="1" applyFont="1" applyBorder="1" applyAlignment="1">
      <alignment horizontal="center" vertical="center"/>
    </xf>
    <xf numFmtId="49" fontId="26" fillId="0" borderId="2" xfId="22" applyNumberFormat="1" applyFont="1" applyBorder="1" applyAlignment="1">
      <alignment horizontal="center" vertical="center"/>
    </xf>
    <xf numFmtId="1" fontId="6" fillId="0" borderId="2" xfId="23" applyNumberFormat="1" applyFont="1" applyBorder="1" applyAlignment="1">
      <alignment horizontal="center" vertical="center"/>
    </xf>
    <xf numFmtId="0" fontId="6" fillId="0" borderId="2" xfId="22" applyFont="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xf>
    <xf numFmtId="2" fontId="6" fillId="2" borderId="2" xfId="0" applyNumberFormat="1" applyFont="1" applyFill="1" applyBorder="1" applyAlignment="1">
      <alignment horizontal="center"/>
    </xf>
    <xf numFmtId="0" fontId="7" fillId="0" borderId="0" xfId="0" applyFont="1" applyAlignment="1">
      <alignment horizontal="center" vertical="center"/>
    </xf>
    <xf numFmtId="2" fontId="7" fillId="0" borderId="0" xfId="0" applyNumberFormat="1" applyFont="1" applyAlignment="1">
      <alignment horizontal="left" vertical="center" wrapText="1"/>
    </xf>
    <xf numFmtId="0" fontId="7" fillId="0" borderId="0" xfId="6" applyFont="1" applyAlignment="1">
      <alignment horizontal="center" wrapText="1"/>
    </xf>
    <xf numFmtId="0" fontId="11"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right" vertical="center"/>
    </xf>
    <xf numFmtId="0" fontId="7" fillId="0" borderId="2" xfId="15" applyFont="1" applyBorder="1" applyAlignment="1">
      <alignment horizontal="center" vertical="center" wrapText="1"/>
    </xf>
    <xf numFmtId="0" fontId="7" fillId="2" borderId="0" xfId="0" applyFont="1" applyFill="1" applyAlignment="1">
      <alignment horizontal="center" vertical="center"/>
    </xf>
    <xf numFmtId="0" fontId="11" fillId="2" borderId="2" xfId="0" applyFont="1" applyFill="1" applyBorder="1" applyAlignment="1">
      <alignment horizontal="center" vertical="center" wrapText="1"/>
    </xf>
    <xf numFmtId="0" fontId="7" fillId="2" borderId="0" xfId="6" applyFont="1" applyFill="1" applyAlignment="1">
      <alignment horizontal="center" wrapText="1"/>
    </xf>
    <xf numFmtId="2" fontId="10" fillId="4" borderId="0" xfId="0" applyNumberFormat="1" applyFont="1" applyFill="1" applyAlignment="1">
      <alignment horizontal="center" vertical="center"/>
    </xf>
    <xf numFmtId="2" fontId="7" fillId="4" borderId="2" xfId="0" applyNumberFormat="1" applyFont="1" applyFill="1" applyBorder="1" applyAlignment="1">
      <alignment horizontal="center" vertical="center"/>
    </xf>
    <xf numFmtId="0" fontId="19"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0" borderId="0" xfId="0" applyFont="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right" vertical="center"/>
    </xf>
    <xf numFmtId="0" fontId="11"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3" xfId="6" applyFont="1" applyBorder="1" applyAlignment="1">
      <alignment horizontal="center" wrapText="1"/>
    </xf>
    <xf numFmtId="2" fontId="7" fillId="0" borderId="0" xfId="0" applyNumberFormat="1" applyFont="1" applyAlignment="1">
      <alignment horizontal="left" vertical="center" wrapText="1"/>
    </xf>
    <xf numFmtId="0" fontId="8" fillId="0" borderId="0" xfId="0" applyFont="1" applyAlignment="1">
      <alignment horizontal="center" vertical="center"/>
    </xf>
    <xf numFmtId="0" fontId="7" fillId="0" borderId="1" xfId="6" applyFont="1" applyBorder="1" applyAlignment="1">
      <alignment horizontal="left"/>
    </xf>
    <xf numFmtId="0" fontId="7" fillId="0" borderId="0" xfId="0" applyFont="1" applyAlignment="1">
      <alignment horizontal="center"/>
    </xf>
    <xf numFmtId="0" fontId="8" fillId="0" borderId="0" xfId="0" applyFont="1" applyAlignment="1">
      <alignment horizontal="left" vertical="center" wrapText="1"/>
    </xf>
    <xf numFmtId="0" fontId="7" fillId="0" borderId="1" xfId="6" applyFont="1" applyBorder="1" applyAlignment="1">
      <alignment horizontal="center"/>
    </xf>
    <xf numFmtId="0" fontId="7" fillId="0" borderId="2" xfId="15" applyFont="1" applyBorder="1" applyAlignment="1">
      <alignment horizontal="center" vertical="center"/>
    </xf>
    <xf numFmtId="0" fontId="7" fillId="0" borderId="2" xfId="15" applyFont="1" applyBorder="1" applyAlignment="1">
      <alignment horizontal="center" vertical="center" wrapText="1"/>
    </xf>
    <xf numFmtId="0" fontId="7" fillId="0" borderId="0" xfId="15" applyFont="1" applyAlignment="1">
      <alignment horizontal="left" wrapText="1"/>
    </xf>
    <xf numFmtId="0" fontId="7" fillId="0" borderId="0" xfId="0" applyFont="1" applyAlignment="1">
      <alignment horizontal="right" vertical="center"/>
    </xf>
    <xf numFmtId="0" fontId="8"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left" vertical="center" wrapText="1"/>
    </xf>
    <xf numFmtId="2" fontId="11" fillId="0" borderId="2" xfId="0" applyNumberFormat="1" applyFont="1" applyBorder="1" applyAlignment="1">
      <alignment horizontal="center" vertical="center" wrapText="1"/>
    </xf>
    <xf numFmtId="0" fontId="7" fillId="0" borderId="0" xfId="6" applyFont="1" applyAlignment="1">
      <alignment horizontal="center" wrapText="1"/>
    </xf>
    <xf numFmtId="2" fontId="8" fillId="0" borderId="0" xfId="0" applyNumberFormat="1" applyFont="1" applyAlignment="1">
      <alignment horizontal="center" vertical="center"/>
    </xf>
    <xf numFmtId="0" fontId="7" fillId="2" borderId="0" xfId="0" applyFont="1" applyFill="1" applyAlignment="1">
      <alignment horizontal="center" vertical="center"/>
    </xf>
    <xf numFmtId="0" fontId="11" fillId="2" borderId="2" xfId="0" applyFont="1" applyFill="1" applyBorder="1" applyAlignment="1">
      <alignment horizontal="center" vertical="center"/>
    </xf>
    <xf numFmtId="0" fontId="13" fillId="2" borderId="2" xfId="0" applyFont="1" applyFill="1" applyBorder="1" applyAlignment="1">
      <alignment horizontal="right" vertical="center"/>
    </xf>
    <xf numFmtId="0" fontId="11"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6" applyFont="1" applyFill="1" applyBorder="1" applyAlignment="1">
      <alignment horizontal="center" wrapText="1"/>
    </xf>
    <xf numFmtId="0" fontId="7" fillId="2" borderId="0" xfId="6" applyFont="1" applyFill="1" applyAlignment="1">
      <alignment horizontal="center" wrapText="1"/>
    </xf>
    <xf numFmtId="2" fontId="7" fillId="2" borderId="0" xfId="0" applyNumberFormat="1" applyFont="1" applyFill="1" applyAlignment="1">
      <alignment horizontal="left" vertical="center" wrapText="1"/>
    </xf>
    <xf numFmtId="0" fontId="8" fillId="2" borderId="0" xfId="0" applyFont="1" applyFill="1" applyAlignment="1">
      <alignment horizontal="center" vertical="center"/>
    </xf>
  </cellXfs>
  <cellStyles count="24">
    <cellStyle name="Comma 2 2 2" xfId="16" xr:uid="{72F30310-6989-483B-A124-4D559FEDE814}"/>
    <cellStyle name="Comma 5" xfId="19" xr:uid="{ED137527-7936-4976-9295-836A4CB1EF19}"/>
    <cellStyle name="Excel Built-in Normal 1" xfId="12" xr:uid="{00000000-0005-0000-0000-000000000000}"/>
    <cellStyle name="Excel Built-in Normal 2" xfId="5" xr:uid="{00000000-0005-0000-0000-000001000000}"/>
    <cellStyle name="Komats" xfId="14" builtinId="3"/>
    <cellStyle name="Komats 4" xfId="20" xr:uid="{9AA1A880-BE8C-47AF-860F-E73DD68D2943}"/>
    <cellStyle name="Normal 10 3" xfId="9" xr:uid="{00000000-0005-0000-0000-000003000000}"/>
    <cellStyle name="Normal 11 2" xfId="21" xr:uid="{30C8477A-B48F-4F12-AD70-0FCB2FAA14B6}"/>
    <cellStyle name="Normal 12" xfId="4" xr:uid="{00000000-0005-0000-0000-000004000000}"/>
    <cellStyle name="Normal 12 2" xfId="23" xr:uid="{B984E754-6F6C-4558-ADA4-BD1AF7F905EE}"/>
    <cellStyle name="Normal 2" xfId="11" xr:uid="{00000000-0005-0000-0000-000005000000}"/>
    <cellStyle name="Normal 3" xfId="6" xr:uid="{00000000-0005-0000-0000-000006000000}"/>
    <cellStyle name="Normal 3 2 9" xfId="10" xr:uid="{00000000-0005-0000-0000-000007000000}"/>
    <cellStyle name="Normal 4" xfId="17" xr:uid="{E48FF315-F840-45EB-83AB-87076BF1282F}"/>
    <cellStyle name="Normal_1 gimnazija_18_09_2007_ar_formulam" xfId="1" xr:uid="{00000000-0005-0000-0000-000008000000}"/>
    <cellStyle name="Normal_501-06tames forma" xfId="15" xr:uid="{D62305D0-B390-4D52-82F0-B6E759267B0A}"/>
    <cellStyle name="Normal_Bill x.1 2" xfId="22" xr:uid="{35C8289A-8D63-4D86-83E0-6AC37BEE4E30}"/>
    <cellStyle name="Normal_Sheet1" xfId="2" xr:uid="{00000000-0005-0000-0000-000009000000}"/>
    <cellStyle name="Parasts" xfId="0" builtinId="0"/>
    <cellStyle name="Parasts 2" xfId="7" xr:uid="{00000000-0005-0000-0000-00000A000000}"/>
    <cellStyle name="Parasts 3" xfId="13" xr:uid="{8F0B6350-42D2-4D95-A0B0-00D772E8293B}"/>
    <cellStyle name="Parasts 4" xfId="18" xr:uid="{BAD5E7CD-9D72-4FDA-BA57-A85790165241}"/>
    <cellStyle name="Style 1" xfId="3" xr:uid="{00000000-0005-0000-0000-00000B000000}"/>
    <cellStyle name="Обычный_33. OZOLNIEKU NOVADA DOME_OZO SKOLA_TELPU, GAITENU, KAPNU TELPU REMONTS_TAME_VADIMS_2011_02_25_melnraksts"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Krists/Desktop/Iepirkumi%202019/Dalderi/Ras&#275;jumi_Dalderi/Ras&#275;jumi_Dalderi/4_Dalderi_BK/Specifik&#257;cijas/L-19-07-06_Dalderi_T&#275;rauda%20kolonnas_18.10.2019.xlsx" TargetMode="External"/><Relationship Id="rId1" Type="http://schemas.openxmlformats.org/officeDocument/2006/relationships/externalLinkPath" Target="/Users/Krists/Desktop/Iepirkumi%202019/Dalderi/Ras&#275;jumi_Dalderi/Ras&#275;jumi_Dalderi/4_Dalderi_BK/Specifik&#257;cijas/L-19-07-06_Dalderi_T&#275;rauda%20kolonnas_18.1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Steel material list"/>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zoomScale="120" zoomScaleNormal="120" zoomScaleSheetLayoutView="120" workbookViewId="0">
      <selection activeCell="A12" sqref="A12:C12"/>
    </sheetView>
  </sheetViews>
  <sheetFormatPr defaultColWidth="8.85546875" defaultRowHeight="11.45"/>
  <cols>
    <col min="1" max="1" width="8.85546875" style="32"/>
    <col min="2" max="2" width="60.42578125" style="32" bestFit="1" customWidth="1"/>
    <col min="3" max="3" width="15.85546875" style="32" customWidth="1"/>
    <col min="4" max="16384" width="8.85546875" style="32"/>
  </cols>
  <sheetData>
    <row r="1" spans="1:8" s="27" customFormat="1">
      <c r="A1" s="4"/>
      <c r="B1" s="47"/>
      <c r="C1" s="187"/>
    </row>
    <row r="2" spans="1:8" s="27" customFormat="1"/>
    <row r="3" spans="1:8" s="27" customFormat="1">
      <c r="A3" s="4"/>
      <c r="B3" s="47"/>
      <c r="C3" s="187"/>
    </row>
    <row r="4" spans="1:8" s="27" customFormat="1">
      <c r="A4" s="4"/>
      <c r="B4" s="47"/>
      <c r="C4" s="47"/>
    </row>
    <row r="5" spans="1:8" s="27" customFormat="1">
      <c r="A5" s="4"/>
      <c r="B5" s="47"/>
      <c r="C5" s="187"/>
    </row>
    <row r="6" spans="1:8" s="27" customFormat="1">
      <c r="A6" s="4"/>
      <c r="B6" s="47"/>
      <c r="C6" s="47"/>
    </row>
    <row r="7" spans="1:8" s="27" customFormat="1">
      <c r="A7" s="4"/>
      <c r="B7" s="47"/>
      <c r="C7" s="187"/>
    </row>
    <row r="8" spans="1:8" s="27" customFormat="1">
      <c r="A8" s="4"/>
      <c r="B8" s="47"/>
      <c r="C8" s="187"/>
    </row>
    <row r="9" spans="1:8" s="27" customFormat="1">
      <c r="A9" s="210" t="s">
        <v>0</v>
      </c>
      <c r="B9" s="210"/>
      <c r="C9" s="210"/>
    </row>
    <row r="10" spans="1:8" s="27" customFormat="1"/>
    <row r="11" spans="1:8" s="27" customFormat="1" ht="21.95" customHeight="1">
      <c r="A11" s="213" t="s">
        <v>1</v>
      </c>
      <c r="B11" s="213"/>
      <c r="C11" s="213"/>
      <c r="D11" s="48"/>
      <c r="E11" s="48"/>
      <c r="F11" s="48"/>
      <c r="G11" s="4"/>
      <c r="H11" s="192"/>
    </row>
    <row r="12" spans="1:8" s="27" customFormat="1" ht="23.1" customHeight="1">
      <c r="A12" s="213" t="s">
        <v>2</v>
      </c>
      <c r="B12" s="213"/>
      <c r="C12" s="213"/>
      <c r="D12" s="48"/>
      <c r="E12" s="48"/>
      <c r="F12" s="49"/>
      <c r="G12" s="4"/>
      <c r="H12" s="192"/>
    </row>
    <row r="13" spans="1:8" s="27" customFormat="1">
      <c r="A13" s="28" t="s">
        <v>3</v>
      </c>
      <c r="B13" s="48"/>
      <c r="C13" s="48"/>
      <c r="D13" s="48"/>
      <c r="E13" s="48"/>
      <c r="F13" s="48"/>
      <c r="G13" s="4"/>
      <c r="H13" s="192"/>
    </row>
    <row r="14" spans="1:8" s="27" customFormat="1">
      <c r="B14" s="193"/>
    </row>
    <row r="15" spans="1:8" s="27" customFormat="1">
      <c r="A15" s="50"/>
      <c r="B15" s="47"/>
    </row>
    <row r="16" spans="1:8" s="35" customFormat="1" ht="27.95" customHeight="1">
      <c r="A16" s="51" t="s">
        <v>4</v>
      </c>
      <c r="B16" s="191" t="s">
        <v>5</v>
      </c>
      <c r="C16" s="51" t="s">
        <v>6</v>
      </c>
      <c r="D16" s="187"/>
      <c r="E16" s="187"/>
      <c r="F16" s="187"/>
      <c r="G16" s="187"/>
      <c r="H16" s="187"/>
    </row>
    <row r="17" spans="1:7" s="35" customFormat="1">
      <c r="A17" s="51"/>
      <c r="B17" s="191"/>
      <c r="C17" s="51"/>
      <c r="D17" s="187"/>
      <c r="E17" s="187"/>
      <c r="F17" s="187"/>
      <c r="G17" s="187"/>
    </row>
    <row r="18" spans="1:7" s="27" customFormat="1" ht="23.1">
      <c r="A18" s="7">
        <v>1</v>
      </c>
      <c r="B18" s="37" t="s">
        <v>7</v>
      </c>
      <c r="C18" s="52">
        <f>'1.KOPS'!D30</f>
        <v>0</v>
      </c>
    </row>
    <row r="19" spans="1:7" s="27" customFormat="1">
      <c r="A19" s="7"/>
      <c r="B19" s="37"/>
      <c r="C19" s="52"/>
      <c r="G19" s="187"/>
    </row>
    <row r="20" spans="1:7" s="27" customFormat="1">
      <c r="A20" s="53"/>
      <c r="B20" s="54" t="s">
        <v>8</v>
      </c>
      <c r="C20" s="52">
        <f>C18</f>
        <v>0</v>
      </c>
    </row>
    <row r="21" spans="1:7" s="27" customFormat="1" ht="12.75" customHeight="1">
      <c r="A21" s="1"/>
      <c r="B21" s="24"/>
      <c r="C21" s="25"/>
    </row>
    <row r="22" spans="1:7">
      <c r="A22" s="21" t="s">
        <v>9</v>
      </c>
      <c r="B22" s="211"/>
      <c r="C22" s="211"/>
    </row>
    <row r="23" spans="1:7" ht="14.45" customHeight="1">
      <c r="A23" s="208" t="s">
        <v>10</v>
      </c>
      <c r="B23" s="208"/>
      <c r="C23" s="208"/>
    </row>
    <row r="24" spans="1:7">
      <c r="A24" s="22" t="s">
        <v>11</v>
      </c>
      <c r="B24" s="1"/>
      <c r="C24" s="23"/>
    </row>
    <row r="25" spans="1:7">
      <c r="A25" s="22"/>
      <c r="B25" s="22"/>
      <c r="C25" s="22"/>
    </row>
    <row r="26" spans="1:7">
      <c r="A26" s="23"/>
      <c r="B26" s="23"/>
      <c r="C26" s="22"/>
    </row>
    <row r="27" spans="1:7">
      <c r="A27" s="1"/>
      <c r="B27" s="1"/>
      <c r="C27" s="1"/>
    </row>
    <row r="28" spans="1:7">
      <c r="A28" s="1" t="s">
        <v>12</v>
      </c>
      <c r="B28" s="1"/>
      <c r="C28" s="1"/>
    </row>
    <row r="29" spans="1:7">
      <c r="A29" s="1"/>
      <c r="B29" s="1"/>
      <c r="C29" s="1"/>
    </row>
    <row r="30" spans="1:7">
      <c r="A30" s="1"/>
      <c r="B30" s="1"/>
      <c r="C30" s="1"/>
    </row>
    <row r="31" spans="1:7">
      <c r="A31" s="212" t="s">
        <v>13</v>
      </c>
      <c r="B31" s="212"/>
      <c r="C31" s="212"/>
    </row>
  </sheetData>
  <mergeCells count="6">
    <mergeCell ref="A9:C9"/>
    <mergeCell ref="B22:C22"/>
    <mergeCell ref="A31:C31"/>
    <mergeCell ref="A23:C23"/>
    <mergeCell ref="A11:C11"/>
    <mergeCell ref="A12:C12"/>
  </mergeCells>
  <phoneticPr fontId="5" type="noConversion"/>
  <printOptions horizontalCentered="1"/>
  <pageMargins left="1.1811023622047245" right="0.39370078740157483"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A5D-66D7-4FEB-99B4-85AE6AE5179A}">
  <dimension ref="A1:Q72"/>
  <sheetViews>
    <sheetView showZeros="0" zoomScale="115" zoomScaleNormal="115" workbookViewId="0">
      <selection activeCell="E18" sqref="E18"/>
    </sheetView>
  </sheetViews>
  <sheetFormatPr defaultColWidth="8.85546875" defaultRowHeight="11.45"/>
  <cols>
    <col min="1" max="1" width="5.85546875" style="32" customWidth="1"/>
    <col min="2" max="2" width="5.85546875" style="58" customWidth="1"/>
    <col min="3" max="3" width="40.85546875" style="58" customWidth="1"/>
    <col min="4" max="5" width="8.85546875" style="58" customWidth="1"/>
    <col min="6" max="11" width="8.85546875" style="32" customWidth="1"/>
    <col min="12" max="16" width="11.85546875" style="32" customWidth="1"/>
    <col min="17" max="16384" width="8.85546875" style="32"/>
  </cols>
  <sheetData>
    <row r="1" spans="1:17">
      <c r="A1" s="210" t="s">
        <v>425</v>
      </c>
      <c r="B1" s="210"/>
      <c r="C1" s="210"/>
      <c r="D1" s="210"/>
      <c r="E1" s="210"/>
      <c r="F1" s="210"/>
      <c r="G1" s="210"/>
      <c r="H1" s="210"/>
      <c r="I1" s="210"/>
      <c r="J1" s="210"/>
      <c r="K1" s="210"/>
      <c r="L1" s="210"/>
      <c r="M1" s="210"/>
      <c r="N1" s="210"/>
      <c r="O1" s="210"/>
      <c r="P1" s="210"/>
      <c r="Q1" s="210"/>
    </row>
    <row r="2" spans="1:17">
      <c r="A2" s="210" t="s">
        <v>41</v>
      </c>
      <c r="B2" s="210"/>
      <c r="C2" s="210"/>
      <c r="D2" s="210"/>
      <c r="E2" s="210"/>
      <c r="F2" s="210"/>
      <c r="G2" s="210"/>
      <c r="H2" s="210"/>
      <c r="I2" s="210"/>
      <c r="J2" s="210"/>
      <c r="K2" s="210"/>
      <c r="L2" s="210"/>
      <c r="M2" s="210"/>
      <c r="N2" s="210"/>
      <c r="O2" s="210"/>
      <c r="P2" s="210"/>
      <c r="Q2" s="210"/>
    </row>
    <row r="3" spans="1:17">
      <c r="A3" s="203" t="s">
        <v>49</v>
      </c>
      <c r="B3" s="203"/>
      <c r="C3" s="203"/>
      <c r="D3" s="203"/>
      <c r="E3" s="203"/>
      <c r="F3" s="203"/>
      <c r="G3" s="203"/>
      <c r="H3" s="203"/>
      <c r="I3" s="203"/>
      <c r="J3" s="203"/>
      <c r="K3" s="203"/>
      <c r="L3" s="203"/>
      <c r="M3" s="203"/>
      <c r="N3" s="203"/>
      <c r="O3" s="203"/>
      <c r="P3" s="203"/>
    </row>
    <row r="4" spans="1:17">
      <c r="A4" s="55"/>
      <c r="B4" s="56"/>
      <c r="C4" s="56"/>
      <c r="D4" s="57"/>
      <c r="E4" s="57"/>
      <c r="F4" s="192"/>
      <c r="G4" s="192"/>
      <c r="H4" s="4"/>
      <c r="I4" s="192"/>
      <c r="J4" s="192"/>
      <c r="K4" s="192"/>
      <c r="L4" s="192"/>
      <c r="M4" s="192"/>
      <c r="N4" s="192"/>
      <c r="O4" s="192"/>
    </row>
    <row r="5" spans="1:17" ht="22.5" customHeight="1">
      <c r="A5" s="209" t="str">
        <f>Koptāme!$A$11</f>
        <v>Objekta nosaukums: Slaucamo govju kūts jaunbūve īpašumā
"Vecsašava"</v>
      </c>
      <c r="B5" s="209"/>
      <c r="C5" s="209"/>
      <c r="D5" s="209"/>
      <c r="E5" s="209"/>
      <c r="F5" s="209"/>
      <c r="G5" s="62"/>
      <c r="H5" s="62"/>
      <c r="I5" s="62"/>
      <c r="J5" s="62"/>
      <c r="K5" s="62"/>
      <c r="L5" s="62"/>
      <c r="M5" s="62"/>
      <c r="N5" s="62"/>
      <c r="O5" s="62"/>
    </row>
    <row r="6" spans="1:17" ht="22.5" customHeight="1">
      <c r="A6" s="209" t="str">
        <f>Koptāme!$A$12</f>
        <v>Objekta adrese: Īpašums "Vecsašava", Mālupes pagasts,
Alūksnes novads</v>
      </c>
      <c r="B6" s="209"/>
      <c r="C6" s="209"/>
      <c r="D6" s="209"/>
      <c r="E6" s="209"/>
      <c r="F6" s="209"/>
      <c r="G6" s="192"/>
      <c r="H6" s="4"/>
      <c r="I6" s="192"/>
      <c r="J6" s="192"/>
      <c r="K6" s="192"/>
      <c r="L6" s="192"/>
      <c r="M6" s="192"/>
      <c r="N6" s="192"/>
      <c r="O6" s="192"/>
    </row>
    <row r="7" spans="1:17" ht="14.25" customHeight="1">
      <c r="A7" s="209" t="str">
        <f>Koptāme!$A$13</f>
        <v>Pasūtītājs: Z/S "Jaunceriņi"</v>
      </c>
      <c r="B7" s="209"/>
      <c r="C7" s="209"/>
      <c r="D7" s="209"/>
      <c r="E7" s="209"/>
      <c r="F7" s="209"/>
      <c r="G7" s="192"/>
      <c r="H7" s="4"/>
      <c r="I7" s="192"/>
      <c r="J7" s="192"/>
      <c r="K7" s="192"/>
      <c r="L7" s="192"/>
      <c r="M7" s="192"/>
      <c r="N7" s="192"/>
      <c r="O7" s="192"/>
    </row>
    <row r="8" spans="1:17" ht="12">
      <c r="A8" s="57"/>
      <c r="B8" s="59"/>
      <c r="C8" s="57"/>
      <c r="D8" s="60"/>
      <c r="E8" s="60"/>
      <c r="F8" s="60"/>
      <c r="G8" s="60"/>
      <c r="H8" s="60"/>
      <c r="I8" s="60"/>
      <c r="J8" s="60"/>
      <c r="K8" s="60"/>
      <c r="L8" s="60"/>
      <c r="M8" s="60"/>
      <c r="N8" s="60"/>
      <c r="O8" s="63" t="s">
        <v>50</v>
      </c>
      <c r="P8" s="61">
        <f>P58</f>
        <v>0</v>
      </c>
    </row>
    <row r="9" spans="1:17" ht="12">
      <c r="A9" s="57"/>
      <c r="B9" s="59"/>
      <c r="C9" s="57"/>
      <c r="D9" s="60"/>
      <c r="E9" s="60"/>
      <c r="F9" s="60"/>
      <c r="G9" s="60"/>
      <c r="H9" s="60"/>
      <c r="I9" s="60"/>
      <c r="J9" s="60"/>
      <c r="K9" s="60"/>
      <c r="L9" s="60"/>
      <c r="M9" s="60"/>
      <c r="N9" s="26" t="str">
        <f>'1-1.DOP'!$N$9</f>
        <v>Tāme sastādīta: 2025.gada 20. oktobrī</v>
      </c>
      <c r="O9" s="69"/>
      <c r="P9" s="60"/>
    </row>
    <row r="11" spans="1:17" ht="12">
      <c r="A11" s="206" t="s">
        <v>51</v>
      </c>
      <c r="B11" s="207" t="s">
        <v>52</v>
      </c>
      <c r="C11" s="206" t="s">
        <v>53</v>
      </c>
      <c r="D11" s="206" t="s">
        <v>54</v>
      </c>
      <c r="E11" s="206" t="s">
        <v>55</v>
      </c>
      <c r="F11" s="204" t="s">
        <v>56</v>
      </c>
      <c r="G11" s="204"/>
      <c r="H11" s="204"/>
      <c r="I11" s="204"/>
      <c r="J11" s="204"/>
      <c r="K11" s="204"/>
      <c r="L11" s="204" t="s">
        <v>57</v>
      </c>
      <c r="M11" s="204"/>
      <c r="N11" s="204"/>
      <c r="O11" s="204"/>
      <c r="P11" s="204"/>
    </row>
    <row r="12" spans="1:17" ht="48">
      <c r="A12" s="206"/>
      <c r="B12" s="207"/>
      <c r="C12" s="206"/>
      <c r="D12" s="206"/>
      <c r="E12" s="206"/>
      <c r="F12" s="190" t="s">
        <v>58</v>
      </c>
      <c r="G12" s="190" t="s">
        <v>59</v>
      </c>
      <c r="H12" s="190" t="s">
        <v>60</v>
      </c>
      <c r="I12" s="190" t="s">
        <v>24</v>
      </c>
      <c r="J12" s="190" t="s">
        <v>61</v>
      </c>
      <c r="K12" s="190" t="s">
        <v>62</v>
      </c>
      <c r="L12" s="190" t="s">
        <v>63</v>
      </c>
      <c r="M12" s="190" t="s">
        <v>60</v>
      </c>
      <c r="N12" s="190" t="s">
        <v>24</v>
      </c>
      <c r="O12" s="190" t="s">
        <v>61</v>
      </c>
      <c r="P12" s="190" t="s">
        <v>64</v>
      </c>
    </row>
    <row r="13" spans="1:17" ht="12">
      <c r="A13" s="190">
        <v>1</v>
      </c>
      <c r="B13" s="190">
        <v>2</v>
      </c>
      <c r="C13" s="190">
        <v>3</v>
      </c>
      <c r="D13" s="190">
        <v>3</v>
      </c>
      <c r="E13" s="190">
        <v>3</v>
      </c>
      <c r="F13" s="190">
        <v>3</v>
      </c>
      <c r="G13" s="190">
        <v>3</v>
      </c>
      <c r="H13" s="190">
        <v>3</v>
      </c>
      <c r="I13" s="190">
        <v>3</v>
      </c>
      <c r="J13" s="190">
        <v>3</v>
      </c>
      <c r="K13" s="190">
        <v>3</v>
      </c>
      <c r="L13" s="190">
        <v>3</v>
      </c>
      <c r="M13" s="190">
        <v>3</v>
      </c>
      <c r="N13" s="190">
        <v>3</v>
      </c>
      <c r="O13" s="190">
        <v>3</v>
      </c>
      <c r="P13" s="190">
        <v>3</v>
      </c>
    </row>
    <row r="14" spans="1:17" ht="12.95">
      <c r="A14" s="40"/>
      <c r="B14" s="40"/>
      <c r="C14" s="104" t="s">
        <v>426</v>
      </c>
      <c r="D14" s="124"/>
      <c r="E14" s="124"/>
      <c r="F14" s="38"/>
      <c r="G14" s="38"/>
      <c r="H14" s="38"/>
      <c r="I14" s="38"/>
      <c r="J14" s="38"/>
      <c r="K14" s="38"/>
      <c r="L14" s="38"/>
      <c r="M14" s="38"/>
      <c r="N14" s="38"/>
      <c r="O14" s="38"/>
      <c r="P14" s="38"/>
    </row>
    <row r="15" spans="1:17" ht="12.95">
      <c r="A15" s="100">
        <f>IF(D15="","",COUNTIF(B$13:$B15,"l.c"))</f>
        <v>1</v>
      </c>
      <c r="B15" s="100" t="str">
        <f t="shared" ref="B15:B57" si="0">IF(D15="","","l.c")</f>
        <v>l.c</v>
      </c>
      <c r="C15" s="151" t="s">
        <v>427</v>
      </c>
      <c r="D15" s="152" t="s">
        <v>68</v>
      </c>
      <c r="E15" s="150">
        <v>118</v>
      </c>
      <c r="F15" s="36"/>
      <c r="G15" s="36"/>
      <c r="H15" s="36"/>
      <c r="I15" s="36"/>
      <c r="J15" s="36"/>
      <c r="K15" s="36"/>
      <c r="L15" s="36"/>
      <c r="M15" s="36"/>
      <c r="N15" s="36"/>
      <c r="O15" s="36"/>
      <c r="P15" s="36"/>
    </row>
    <row r="16" spans="1:17" ht="26.1">
      <c r="A16" s="100">
        <f>IF(D16="","",COUNTIF(B$13:$B16,"l.c"))</f>
        <v>2</v>
      </c>
      <c r="B16" s="100" t="str">
        <f t="shared" si="0"/>
        <v>l.c</v>
      </c>
      <c r="C16" s="151" t="s">
        <v>428</v>
      </c>
      <c r="D16" s="172" t="s">
        <v>429</v>
      </c>
      <c r="E16" s="150">
        <f>E15*1.5</f>
        <v>177</v>
      </c>
      <c r="F16" s="36"/>
      <c r="G16" s="36"/>
      <c r="H16" s="36"/>
      <c r="I16" s="36"/>
      <c r="J16" s="36"/>
      <c r="K16" s="36"/>
      <c r="L16" s="36"/>
      <c r="M16" s="36"/>
      <c r="N16" s="36"/>
      <c r="O16" s="36"/>
      <c r="P16" s="36"/>
    </row>
    <row r="17" spans="1:16" ht="12.95">
      <c r="A17" s="100">
        <f>IF(D17="","",COUNTIF(B$13:$B17,"l.c"))</f>
        <v>3</v>
      </c>
      <c r="B17" s="100" t="str">
        <f t="shared" ref="B17:B56" si="1">IF(D17="","","l.c")</f>
        <v>l.c</v>
      </c>
      <c r="C17" s="151" t="s">
        <v>430</v>
      </c>
      <c r="D17" s="173" t="s">
        <v>431</v>
      </c>
      <c r="E17" s="150">
        <f>118*1.5*2</f>
        <v>354</v>
      </c>
      <c r="F17" s="36"/>
      <c r="G17" s="36"/>
      <c r="H17" s="36"/>
      <c r="I17" s="36"/>
      <c r="J17" s="36"/>
      <c r="K17" s="36"/>
      <c r="L17" s="36"/>
      <c r="M17" s="36"/>
      <c r="N17" s="36"/>
      <c r="O17" s="36"/>
      <c r="P17" s="36"/>
    </row>
    <row r="18" spans="1:16" ht="26.1">
      <c r="A18" s="100">
        <f>IF(D18="","",COUNTIF(B$13:$B18,"l.c"))</f>
        <v>4</v>
      </c>
      <c r="B18" s="100" t="str">
        <f t="shared" si="1"/>
        <v>l.c</v>
      </c>
      <c r="C18" s="151" t="s">
        <v>432</v>
      </c>
      <c r="D18" s="174" t="s">
        <v>68</v>
      </c>
      <c r="E18" s="150">
        <f>E15</f>
        <v>118</v>
      </c>
      <c r="F18" s="36"/>
      <c r="G18" s="36"/>
      <c r="H18" s="36"/>
      <c r="I18" s="36"/>
      <c r="J18" s="36"/>
      <c r="K18" s="36"/>
      <c r="L18" s="36"/>
      <c r="M18" s="36"/>
      <c r="N18" s="36"/>
      <c r="O18" s="36"/>
      <c r="P18" s="36"/>
    </row>
    <row r="19" spans="1:16" ht="26.1">
      <c r="A19" s="100">
        <f>IF(D19="","",COUNTIF(B$13:$B19,"l.c"))</f>
        <v>5</v>
      </c>
      <c r="B19" s="100" t="str">
        <f t="shared" si="1"/>
        <v>l.c</v>
      </c>
      <c r="C19" s="151" t="s">
        <v>433</v>
      </c>
      <c r="D19" s="174" t="s">
        <v>68</v>
      </c>
      <c r="E19" s="150">
        <f>E15</f>
        <v>118</v>
      </c>
      <c r="F19" s="36"/>
      <c r="G19" s="36"/>
      <c r="H19" s="36"/>
      <c r="I19" s="36"/>
      <c r="J19" s="36"/>
      <c r="K19" s="36"/>
      <c r="L19" s="36"/>
      <c r="M19" s="36"/>
      <c r="N19" s="36"/>
      <c r="O19" s="36"/>
      <c r="P19" s="36"/>
    </row>
    <row r="20" spans="1:16" ht="26.1">
      <c r="A20" s="100">
        <f>IF(D20="","",COUNTIF(B$13:$B20,"l.c"))</f>
        <v>6</v>
      </c>
      <c r="B20" s="100" t="str">
        <f t="shared" si="1"/>
        <v>l.c</v>
      </c>
      <c r="C20" s="151" t="s">
        <v>434</v>
      </c>
      <c r="D20" s="173" t="s">
        <v>431</v>
      </c>
      <c r="E20" s="150">
        <f>(E15*0.15*1.5)+(E15*(0.063+0.15)*1.5)-(E15*0.0019)</f>
        <v>64.03</v>
      </c>
      <c r="F20" s="36"/>
      <c r="G20" s="36"/>
      <c r="H20" s="36"/>
      <c r="I20" s="36"/>
      <c r="J20" s="36"/>
      <c r="K20" s="36"/>
      <c r="L20" s="36"/>
      <c r="M20" s="36"/>
      <c r="N20" s="36"/>
      <c r="O20" s="36"/>
      <c r="P20" s="36"/>
    </row>
    <row r="21" spans="1:16" ht="26.1">
      <c r="A21" s="100">
        <f>IF(D21="","",COUNTIF(B$13:$B21,"l.c"))</f>
        <v>7</v>
      </c>
      <c r="B21" s="100" t="str">
        <f t="shared" si="1"/>
        <v>l.c</v>
      </c>
      <c r="C21" s="151" t="s">
        <v>435</v>
      </c>
      <c r="D21" s="152" t="s">
        <v>68</v>
      </c>
      <c r="E21" s="150">
        <f>E15</f>
        <v>118</v>
      </c>
      <c r="F21" s="36"/>
      <c r="G21" s="36"/>
      <c r="H21" s="36"/>
      <c r="I21" s="36"/>
      <c r="J21" s="36"/>
      <c r="K21" s="36"/>
      <c r="L21" s="36"/>
      <c r="M21" s="36"/>
      <c r="N21" s="36"/>
      <c r="O21" s="36"/>
      <c r="P21" s="36"/>
    </row>
    <row r="22" spans="1:16" ht="12.95">
      <c r="A22" s="100">
        <f>IF(D22="","",COUNTIF(B$13:$B22,"l.c"))</f>
        <v>8</v>
      </c>
      <c r="B22" s="100" t="str">
        <f t="shared" si="1"/>
        <v>l.c</v>
      </c>
      <c r="C22" s="151" t="s">
        <v>436</v>
      </c>
      <c r="D22" s="173" t="s">
        <v>431</v>
      </c>
      <c r="E22" s="150">
        <f>E17-E20</f>
        <v>289.97000000000003</v>
      </c>
      <c r="F22" s="36"/>
      <c r="G22" s="36"/>
      <c r="H22" s="36"/>
      <c r="I22" s="36"/>
      <c r="J22" s="36"/>
      <c r="K22" s="36"/>
      <c r="L22" s="36"/>
      <c r="M22" s="36"/>
      <c r="N22" s="36"/>
      <c r="O22" s="36"/>
      <c r="P22" s="36"/>
    </row>
    <row r="23" spans="1:16" ht="12.95">
      <c r="A23" s="100">
        <f>IF(D23="","",COUNTIF(B$13:$B23,"l.c"))</f>
        <v>9</v>
      </c>
      <c r="B23" s="100" t="str">
        <f t="shared" si="1"/>
        <v>l.c</v>
      </c>
      <c r="C23" s="151" t="s">
        <v>437</v>
      </c>
      <c r="D23" s="173" t="s">
        <v>431</v>
      </c>
      <c r="E23" s="150">
        <f>E20</f>
        <v>64.03</v>
      </c>
      <c r="F23" s="36"/>
      <c r="G23" s="36"/>
      <c r="H23" s="36"/>
      <c r="I23" s="36"/>
      <c r="J23" s="36"/>
      <c r="K23" s="36"/>
      <c r="L23" s="36"/>
      <c r="M23" s="36"/>
      <c r="N23" s="36"/>
      <c r="O23" s="36"/>
      <c r="P23" s="36"/>
    </row>
    <row r="24" spans="1:16" ht="39">
      <c r="A24" s="100">
        <f>IF(D24="","",COUNTIF(B$13:$B24,"l.c"))</f>
        <v>10</v>
      </c>
      <c r="B24" s="100" t="str">
        <f t="shared" si="1"/>
        <v>l.c</v>
      </c>
      <c r="C24" s="151" t="s">
        <v>438</v>
      </c>
      <c r="D24" s="152" t="s">
        <v>439</v>
      </c>
      <c r="E24" s="150">
        <v>1</v>
      </c>
      <c r="F24" s="36"/>
      <c r="G24" s="36"/>
      <c r="H24" s="36"/>
      <c r="I24" s="36"/>
      <c r="J24" s="36"/>
      <c r="K24" s="36"/>
      <c r="L24" s="36"/>
      <c r="M24" s="36"/>
      <c r="N24" s="36"/>
      <c r="O24" s="36"/>
      <c r="P24" s="36"/>
    </row>
    <row r="25" spans="1:16" ht="28.5">
      <c r="A25" s="100">
        <f>IF(D25="","",COUNTIF(B$13:$B25,"l.c"))</f>
        <v>11</v>
      </c>
      <c r="B25" s="100" t="str">
        <f t="shared" si="1"/>
        <v>l.c</v>
      </c>
      <c r="C25" s="175" t="s">
        <v>440</v>
      </c>
      <c r="D25" s="176" t="s">
        <v>113</v>
      </c>
      <c r="E25" s="177">
        <v>2</v>
      </c>
      <c r="F25" s="36"/>
      <c r="G25" s="36"/>
      <c r="H25" s="36"/>
      <c r="I25" s="36"/>
      <c r="J25" s="36"/>
      <c r="K25" s="36"/>
      <c r="L25" s="36"/>
      <c r="M25" s="36"/>
      <c r="N25" s="36"/>
      <c r="O25" s="36"/>
      <c r="P25" s="36"/>
    </row>
    <row r="26" spans="1:16" ht="12.95">
      <c r="A26" s="100">
        <f>IF(D26="","",COUNTIF(B$13:$B26,"l.c"))</f>
        <v>12</v>
      </c>
      <c r="B26" s="100" t="str">
        <f t="shared" si="1"/>
        <v>l.c</v>
      </c>
      <c r="C26" s="178" t="s">
        <v>441</v>
      </c>
      <c r="D26" s="176" t="s">
        <v>76</v>
      </c>
      <c r="E26" s="177">
        <v>1</v>
      </c>
      <c r="F26" s="36"/>
      <c r="G26" s="36"/>
      <c r="H26" s="36"/>
      <c r="I26" s="36"/>
      <c r="J26" s="36"/>
      <c r="K26" s="36"/>
      <c r="L26" s="36"/>
      <c r="M26" s="36"/>
      <c r="N26" s="36"/>
      <c r="O26" s="36"/>
      <c r="P26" s="36"/>
    </row>
    <row r="27" spans="1:16" ht="26.1">
      <c r="A27" s="100">
        <f>IF(D27="","",COUNTIF(B$13:$B27,"l.c"))</f>
        <v>13</v>
      </c>
      <c r="B27" s="100" t="str">
        <f t="shared" si="1"/>
        <v>l.c</v>
      </c>
      <c r="C27" s="175" t="s">
        <v>442</v>
      </c>
      <c r="D27" s="176" t="s">
        <v>443</v>
      </c>
      <c r="E27" s="177">
        <v>1</v>
      </c>
      <c r="F27" s="36"/>
      <c r="G27" s="36"/>
      <c r="H27" s="36"/>
      <c r="I27" s="36"/>
      <c r="J27" s="36"/>
      <c r="K27" s="36"/>
      <c r="L27" s="36"/>
      <c r="M27" s="36"/>
      <c r="N27" s="36"/>
      <c r="O27" s="36"/>
      <c r="P27" s="36"/>
    </row>
    <row r="28" spans="1:16" ht="26.1">
      <c r="A28" s="100">
        <f>IF(D28="","",COUNTIF(B$13:$B28,"l.c"))</f>
        <v>14</v>
      </c>
      <c r="B28" s="100" t="str">
        <f t="shared" si="1"/>
        <v>l.c</v>
      </c>
      <c r="C28" s="175" t="s">
        <v>444</v>
      </c>
      <c r="D28" s="176" t="s">
        <v>443</v>
      </c>
      <c r="E28" s="177">
        <v>1</v>
      </c>
      <c r="F28" s="36"/>
      <c r="G28" s="36"/>
      <c r="H28" s="36"/>
      <c r="I28" s="36"/>
      <c r="J28" s="36"/>
      <c r="K28" s="36"/>
      <c r="L28" s="36"/>
      <c r="M28" s="36"/>
      <c r="N28" s="36"/>
      <c r="O28" s="36"/>
      <c r="P28" s="36"/>
    </row>
    <row r="29" spans="1:16" ht="12.95">
      <c r="A29" s="100">
        <f>IF(D29="","",COUNTIF(B$13:$B29,"l.c"))</f>
        <v>15</v>
      </c>
      <c r="B29" s="100" t="str">
        <f t="shared" si="1"/>
        <v>l.c</v>
      </c>
      <c r="C29" s="179" t="s">
        <v>445</v>
      </c>
      <c r="D29" s="147" t="s">
        <v>443</v>
      </c>
      <c r="E29" s="180">
        <v>1</v>
      </c>
      <c r="F29" s="36"/>
      <c r="G29" s="36"/>
      <c r="H29" s="36"/>
      <c r="I29" s="36"/>
      <c r="J29" s="36"/>
      <c r="K29" s="36"/>
      <c r="L29" s="36"/>
      <c r="M29" s="36"/>
      <c r="N29" s="36"/>
      <c r="O29" s="36"/>
      <c r="P29" s="36"/>
    </row>
    <row r="30" spans="1:16" ht="12.95">
      <c r="A30" s="100">
        <f>IF(D30="","",COUNTIF(B$13:$B30,"l.c"))</f>
        <v>16</v>
      </c>
      <c r="B30" s="100" t="str">
        <f t="shared" si="1"/>
        <v>l.c</v>
      </c>
      <c r="C30" s="179" t="s">
        <v>446</v>
      </c>
      <c r="D30" s="147" t="s">
        <v>443</v>
      </c>
      <c r="E30" s="180">
        <v>2</v>
      </c>
      <c r="F30" s="36"/>
      <c r="G30" s="36"/>
      <c r="H30" s="36"/>
      <c r="I30" s="36"/>
      <c r="J30" s="36"/>
      <c r="K30" s="36"/>
      <c r="L30" s="36"/>
      <c r="M30" s="36"/>
      <c r="N30" s="36"/>
      <c r="O30" s="36"/>
      <c r="P30" s="36"/>
    </row>
    <row r="31" spans="1:16" ht="12.95">
      <c r="A31" s="100" t="str">
        <f>IF(D31="","",COUNTIF(B$13:$B31,"l.c"))</f>
        <v/>
      </c>
      <c r="B31" s="100" t="str">
        <f t="shared" si="1"/>
        <v/>
      </c>
      <c r="C31" s="181" t="s">
        <v>447</v>
      </c>
      <c r="D31" s="172"/>
      <c r="E31" s="182"/>
      <c r="F31" s="36"/>
      <c r="G31" s="36"/>
      <c r="H31" s="36"/>
      <c r="I31" s="36"/>
      <c r="J31" s="36"/>
      <c r="K31" s="36"/>
      <c r="L31" s="36"/>
      <c r="M31" s="36"/>
      <c r="N31" s="36"/>
      <c r="O31" s="36"/>
      <c r="P31" s="36"/>
    </row>
    <row r="32" spans="1:16" ht="12.95">
      <c r="A32" s="100">
        <f>IF(D32="","",COUNTIF(B$13:$B32,"l.c"))</f>
        <v>17</v>
      </c>
      <c r="B32" s="100" t="str">
        <f t="shared" si="1"/>
        <v>l.c</v>
      </c>
      <c r="C32" s="151" t="s">
        <v>427</v>
      </c>
      <c r="D32" s="152" t="s">
        <v>68</v>
      </c>
      <c r="E32" s="150">
        <v>8</v>
      </c>
      <c r="F32" s="36"/>
      <c r="G32" s="36"/>
      <c r="H32" s="36"/>
      <c r="I32" s="36"/>
      <c r="J32" s="36"/>
      <c r="K32" s="36"/>
      <c r="L32" s="36"/>
      <c r="M32" s="36"/>
      <c r="N32" s="36"/>
      <c r="O32" s="36"/>
      <c r="P32" s="36"/>
    </row>
    <row r="33" spans="1:16" ht="12.95">
      <c r="A33" s="100">
        <f>IF(D33="","",COUNTIF(B$13:$B33,"l.c"))</f>
        <v>18</v>
      </c>
      <c r="B33" s="100" t="str">
        <f t="shared" si="1"/>
        <v>l.c</v>
      </c>
      <c r="C33" s="151" t="s">
        <v>448</v>
      </c>
      <c r="D33" s="173" t="s">
        <v>431</v>
      </c>
      <c r="E33" s="174">
        <f>E32*1.5*1.5</f>
        <v>18</v>
      </c>
      <c r="F33" s="36"/>
      <c r="G33" s="36"/>
      <c r="H33" s="36"/>
      <c r="I33" s="36"/>
      <c r="J33" s="36"/>
      <c r="K33" s="36"/>
      <c r="L33" s="36"/>
      <c r="M33" s="36"/>
      <c r="N33" s="36"/>
      <c r="O33" s="36"/>
      <c r="P33" s="36"/>
    </row>
    <row r="34" spans="1:16" ht="26.1">
      <c r="A34" s="100">
        <f>IF(D34="","",COUNTIF(B$13:$B34,"l.c"))</f>
        <v>19</v>
      </c>
      <c r="B34" s="100" t="str">
        <f t="shared" si="1"/>
        <v>l.c</v>
      </c>
      <c r="C34" s="151" t="s">
        <v>434</v>
      </c>
      <c r="D34" s="152" t="s">
        <v>431</v>
      </c>
      <c r="E34" s="150">
        <f>(E32*0.15*1.5)+(E32*(0.16+0.15)*1.5)-(E32*0.009)</f>
        <v>5.45</v>
      </c>
      <c r="F34" s="36"/>
      <c r="G34" s="36"/>
      <c r="H34" s="36"/>
      <c r="I34" s="36"/>
      <c r="J34" s="36"/>
      <c r="K34" s="36"/>
      <c r="L34" s="36"/>
      <c r="M34" s="36"/>
      <c r="N34" s="36"/>
      <c r="O34" s="36"/>
      <c r="P34" s="36"/>
    </row>
    <row r="35" spans="1:16" ht="26.1">
      <c r="A35" s="100">
        <f>IF(D35="","",COUNTIF(B$13:$B35,"l.c"))</f>
        <v>20</v>
      </c>
      <c r="B35" s="100" t="str">
        <f t="shared" si="1"/>
        <v>l.c</v>
      </c>
      <c r="C35" s="151" t="s">
        <v>449</v>
      </c>
      <c r="D35" s="173" t="s">
        <v>68</v>
      </c>
      <c r="E35" s="174">
        <v>3</v>
      </c>
      <c r="F35" s="36"/>
      <c r="G35" s="36"/>
      <c r="H35" s="36"/>
      <c r="I35" s="36"/>
      <c r="J35" s="36"/>
      <c r="K35" s="36"/>
      <c r="L35" s="36"/>
      <c r="M35" s="36"/>
      <c r="N35" s="36"/>
      <c r="O35" s="36"/>
      <c r="P35" s="36"/>
    </row>
    <row r="36" spans="1:16" ht="26.1">
      <c r="A36" s="100">
        <f>IF(D36="","",COUNTIF(B$13:$B36,"l.c"))</f>
        <v>21</v>
      </c>
      <c r="B36" s="100" t="str">
        <f t="shared" si="1"/>
        <v>l.c</v>
      </c>
      <c r="C36" s="151" t="s">
        <v>450</v>
      </c>
      <c r="D36" s="173" t="s">
        <v>68</v>
      </c>
      <c r="E36" s="174">
        <v>5</v>
      </c>
      <c r="F36" s="36"/>
      <c r="G36" s="36"/>
      <c r="H36" s="36"/>
      <c r="I36" s="36"/>
      <c r="J36" s="36"/>
      <c r="K36" s="36"/>
      <c r="L36" s="36"/>
      <c r="M36" s="36"/>
      <c r="N36" s="36"/>
      <c r="O36" s="36"/>
      <c r="P36" s="36"/>
    </row>
    <row r="37" spans="1:16" ht="65.099999999999994">
      <c r="A37" s="100">
        <f>IF(D37="","",COUNTIF(B$13:$B37,"l.c"))</f>
        <v>22</v>
      </c>
      <c r="B37" s="100" t="str">
        <f t="shared" si="1"/>
        <v>l.c</v>
      </c>
      <c r="C37" s="151" t="s">
        <v>451</v>
      </c>
      <c r="D37" s="152" t="s">
        <v>85</v>
      </c>
      <c r="E37" s="150">
        <v>2</v>
      </c>
      <c r="F37" s="36"/>
      <c r="G37" s="36"/>
      <c r="H37" s="36"/>
      <c r="I37" s="36"/>
      <c r="J37" s="36"/>
      <c r="K37" s="36"/>
      <c r="L37" s="36"/>
      <c r="M37" s="36"/>
      <c r="N37" s="36"/>
      <c r="O37" s="36"/>
      <c r="P37" s="36"/>
    </row>
    <row r="38" spans="1:16" ht="65.099999999999994">
      <c r="A38" s="100">
        <f>IF(D38="","",COUNTIF(B$13:$B38,"l.c"))</f>
        <v>23</v>
      </c>
      <c r="B38" s="100" t="str">
        <f t="shared" si="1"/>
        <v>l.c</v>
      </c>
      <c r="C38" s="151" t="s">
        <v>452</v>
      </c>
      <c r="D38" s="152" t="s">
        <v>85</v>
      </c>
      <c r="E38" s="150">
        <v>1</v>
      </c>
      <c r="F38" s="36"/>
      <c r="G38" s="36"/>
      <c r="H38" s="36"/>
      <c r="I38" s="36"/>
      <c r="J38" s="36"/>
      <c r="K38" s="36"/>
      <c r="L38" s="36"/>
      <c r="M38" s="36"/>
      <c r="N38" s="36"/>
      <c r="O38" s="36"/>
      <c r="P38" s="36"/>
    </row>
    <row r="39" spans="1:16" ht="12.95">
      <c r="A39" s="100">
        <f>IF(D39="","",COUNTIF(B$13:$B39,"l.c"))</f>
        <v>24</v>
      </c>
      <c r="B39" s="100" t="str">
        <f t="shared" si="1"/>
        <v>l.c</v>
      </c>
      <c r="C39" s="151" t="s">
        <v>436</v>
      </c>
      <c r="D39" s="173" t="s">
        <v>431</v>
      </c>
      <c r="E39" s="174">
        <f>E33-E40</f>
        <v>12.55</v>
      </c>
      <c r="F39" s="36"/>
      <c r="G39" s="36"/>
      <c r="H39" s="36"/>
      <c r="I39" s="36"/>
      <c r="J39" s="36"/>
      <c r="K39" s="36"/>
      <c r="L39" s="36"/>
      <c r="M39" s="36"/>
      <c r="N39" s="36"/>
      <c r="O39" s="36"/>
      <c r="P39" s="36"/>
    </row>
    <row r="40" spans="1:16" ht="24" customHeight="1">
      <c r="A40" s="100">
        <f>IF(D40="","",COUNTIF(B$13:$B40,"l.c"))</f>
        <v>25</v>
      </c>
      <c r="B40" s="100" t="str">
        <f t="shared" si="1"/>
        <v>l.c</v>
      </c>
      <c r="C40" s="151" t="s">
        <v>437</v>
      </c>
      <c r="D40" s="173" t="s">
        <v>431</v>
      </c>
      <c r="E40" s="174">
        <f>E34</f>
        <v>5.45</v>
      </c>
      <c r="F40" s="36"/>
      <c r="G40" s="36"/>
      <c r="H40" s="36"/>
      <c r="I40" s="36"/>
      <c r="J40" s="36"/>
      <c r="K40" s="36"/>
      <c r="L40" s="36"/>
      <c r="M40" s="36"/>
      <c r="N40" s="36"/>
      <c r="O40" s="36"/>
      <c r="P40" s="36"/>
    </row>
    <row r="41" spans="1:16" ht="12.95">
      <c r="A41" s="100">
        <f>IF(D41="","",COUNTIF(B$13:$B41,"l.c"))</f>
        <v>26</v>
      </c>
      <c r="B41" s="100" t="str">
        <f t="shared" si="1"/>
        <v>l.c</v>
      </c>
      <c r="C41" s="151" t="s">
        <v>453</v>
      </c>
      <c r="D41" s="174" t="s">
        <v>439</v>
      </c>
      <c r="E41" s="174">
        <v>1</v>
      </c>
      <c r="F41" s="36"/>
      <c r="G41" s="36"/>
      <c r="H41" s="36"/>
      <c r="I41" s="36"/>
      <c r="J41" s="36"/>
      <c r="K41" s="36"/>
      <c r="L41" s="36"/>
      <c r="M41" s="36"/>
      <c r="N41" s="36"/>
      <c r="O41" s="36"/>
      <c r="P41" s="36"/>
    </row>
    <row r="42" spans="1:16" ht="26.1">
      <c r="A42" s="100">
        <f>IF(D42="","",COUNTIF(B$13:$B42,"l.c"))</f>
        <v>27</v>
      </c>
      <c r="B42" s="100" t="str">
        <f t="shared" si="1"/>
        <v>l.c</v>
      </c>
      <c r="C42" s="151" t="s">
        <v>454</v>
      </c>
      <c r="D42" s="150" t="s">
        <v>68</v>
      </c>
      <c r="E42" s="150">
        <f>E32</f>
        <v>8</v>
      </c>
      <c r="F42" s="36"/>
      <c r="G42" s="36"/>
      <c r="H42" s="36"/>
      <c r="I42" s="36"/>
      <c r="J42" s="36"/>
      <c r="K42" s="36"/>
      <c r="L42" s="36"/>
      <c r="M42" s="36"/>
      <c r="N42" s="36"/>
      <c r="O42" s="36"/>
      <c r="P42" s="36"/>
    </row>
    <row r="43" spans="1:16" ht="15.6">
      <c r="A43" s="100">
        <f>IF(D43="","",COUNTIF(B$13:$B43,"l.c"))</f>
        <v>28</v>
      </c>
      <c r="B43" s="100" t="str">
        <f t="shared" si="1"/>
        <v>l.c</v>
      </c>
      <c r="C43" s="179" t="s">
        <v>455</v>
      </c>
      <c r="D43" s="183" t="s">
        <v>456</v>
      </c>
      <c r="E43" s="180" t="s">
        <v>457</v>
      </c>
      <c r="F43" s="36"/>
      <c r="G43" s="36"/>
      <c r="H43" s="36"/>
      <c r="I43" s="36"/>
      <c r="J43" s="36"/>
      <c r="K43" s="36"/>
      <c r="L43" s="36"/>
      <c r="M43" s="36"/>
      <c r="N43" s="36"/>
      <c r="O43" s="36"/>
      <c r="P43" s="36"/>
    </row>
    <row r="44" spans="1:16" ht="26.1">
      <c r="A44" s="100">
        <f>IF(D44="","",COUNTIF(B$13:$B44,"l.c"))</f>
        <v>29</v>
      </c>
      <c r="B44" s="100" t="str">
        <f t="shared" si="1"/>
        <v>l.c</v>
      </c>
      <c r="C44" s="175" t="s">
        <v>444</v>
      </c>
      <c r="D44" s="176" t="s">
        <v>443</v>
      </c>
      <c r="E44" s="177">
        <v>2</v>
      </c>
      <c r="F44" s="36"/>
      <c r="G44" s="36"/>
      <c r="H44" s="36"/>
      <c r="I44" s="36"/>
      <c r="J44" s="36"/>
      <c r="K44" s="36"/>
      <c r="L44" s="36"/>
      <c r="M44" s="36"/>
      <c r="N44" s="36"/>
      <c r="O44" s="36"/>
      <c r="P44" s="36"/>
    </row>
    <row r="45" spans="1:16" ht="12.95">
      <c r="A45" s="100" t="str">
        <f>IF(D45="","",COUNTIF(B$13:$B45,"l.c"))</f>
        <v/>
      </c>
      <c r="B45" s="100" t="str">
        <f t="shared" si="1"/>
        <v/>
      </c>
      <c r="C45" s="181" t="s">
        <v>458</v>
      </c>
      <c r="D45" s="172"/>
      <c r="E45" s="182"/>
      <c r="F45" s="36"/>
      <c r="G45" s="36"/>
      <c r="H45" s="36"/>
      <c r="I45" s="36"/>
      <c r="J45" s="36"/>
      <c r="K45" s="36"/>
      <c r="L45" s="36"/>
      <c r="M45" s="36"/>
      <c r="N45" s="36"/>
      <c r="O45" s="36"/>
      <c r="P45" s="36"/>
    </row>
    <row r="46" spans="1:16" ht="12.95">
      <c r="A46" s="100">
        <f>IF(D46="","",COUNTIF(B$13:$B46,"l.c"))</f>
        <v>30</v>
      </c>
      <c r="B46" s="100" t="str">
        <f t="shared" si="1"/>
        <v>l.c</v>
      </c>
      <c r="C46" s="151" t="s">
        <v>427</v>
      </c>
      <c r="D46" s="152" t="s">
        <v>68</v>
      </c>
      <c r="E46" s="150">
        <v>30</v>
      </c>
      <c r="F46" s="36"/>
      <c r="G46" s="36"/>
      <c r="H46" s="36"/>
      <c r="I46" s="36"/>
      <c r="J46" s="36"/>
      <c r="K46" s="36"/>
      <c r="L46" s="36"/>
      <c r="M46" s="36"/>
      <c r="N46" s="36"/>
      <c r="O46" s="36"/>
      <c r="P46" s="36"/>
    </row>
    <row r="47" spans="1:16" ht="12.95">
      <c r="A47" s="100">
        <f>IF(D47="","",COUNTIF(B$13:$B47,"l.c"))</f>
        <v>31</v>
      </c>
      <c r="B47" s="100" t="str">
        <f t="shared" si="1"/>
        <v>l.c</v>
      </c>
      <c r="C47" s="151" t="s">
        <v>459</v>
      </c>
      <c r="D47" s="173" t="s">
        <v>431</v>
      </c>
      <c r="E47" s="174">
        <f>E46*1.5*2.5</f>
        <v>112.5</v>
      </c>
      <c r="F47" s="36"/>
      <c r="G47" s="36"/>
      <c r="H47" s="36"/>
      <c r="I47" s="36"/>
      <c r="J47" s="36"/>
      <c r="K47" s="36"/>
      <c r="L47" s="36"/>
      <c r="M47" s="36"/>
      <c r="N47" s="36"/>
      <c r="O47" s="36"/>
      <c r="P47" s="36"/>
    </row>
    <row r="48" spans="1:16" ht="26.1">
      <c r="A48" s="100">
        <f>IF(D48="","",COUNTIF(B$13:$B48,"l.c"))</f>
        <v>32</v>
      </c>
      <c r="B48" s="100" t="str">
        <f t="shared" si="1"/>
        <v>l.c</v>
      </c>
      <c r="C48" s="184" t="s">
        <v>434</v>
      </c>
      <c r="D48" s="185" t="s">
        <v>431</v>
      </c>
      <c r="E48" s="186">
        <f>(E46*1.5*0.15)+(E46*1.5*(0.15+0.16)-(E46*0.02))</f>
        <v>20.100000000000001</v>
      </c>
      <c r="F48" s="36"/>
      <c r="G48" s="36"/>
      <c r="H48" s="36"/>
      <c r="I48" s="36"/>
      <c r="J48" s="36"/>
      <c r="K48" s="36"/>
      <c r="L48" s="36"/>
      <c r="M48" s="36"/>
      <c r="N48" s="36"/>
      <c r="O48" s="36"/>
      <c r="P48" s="36"/>
    </row>
    <row r="49" spans="1:16" ht="26.1">
      <c r="A49" s="100">
        <f>IF(D49="","",COUNTIF(B$13:$B49,"l.c"))</f>
        <v>33</v>
      </c>
      <c r="B49" s="100" t="str">
        <f t="shared" si="1"/>
        <v>l.c</v>
      </c>
      <c r="C49" s="184" t="s">
        <v>460</v>
      </c>
      <c r="D49" s="185" t="s">
        <v>68</v>
      </c>
      <c r="E49" s="186">
        <f>E46</f>
        <v>30</v>
      </c>
      <c r="F49" s="36"/>
      <c r="G49" s="36"/>
      <c r="H49" s="36"/>
      <c r="I49" s="36"/>
      <c r="J49" s="36"/>
      <c r="K49" s="36"/>
      <c r="L49" s="36"/>
      <c r="M49" s="36"/>
      <c r="N49" s="36"/>
      <c r="O49" s="36"/>
      <c r="P49" s="36"/>
    </row>
    <row r="50" spans="1:16" ht="26.1">
      <c r="A50" s="100">
        <f>IF(D50="","",COUNTIF(B$13:$B50,"l.c"))</f>
        <v>34</v>
      </c>
      <c r="B50" s="100" t="str">
        <f t="shared" si="1"/>
        <v>l.c</v>
      </c>
      <c r="C50" s="184" t="s">
        <v>461</v>
      </c>
      <c r="D50" s="185" t="s">
        <v>113</v>
      </c>
      <c r="E50" s="186">
        <v>1</v>
      </c>
      <c r="F50" s="36"/>
      <c r="G50" s="36"/>
      <c r="H50" s="36"/>
      <c r="I50" s="36"/>
      <c r="J50" s="36"/>
      <c r="K50" s="36"/>
      <c r="L50" s="36"/>
      <c r="M50" s="36"/>
      <c r="N50" s="36"/>
      <c r="O50" s="36"/>
      <c r="P50" s="36"/>
    </row>
    <row r="51" spans="1:16" ht="26.1">
      <c r="A51" s="100">
        <f>IF(D51="","",COUNTIF(B$13:$B51,"l.c"))</f>
        <v>35</v>
      </c>
      <c r="B51" s="100" t="str">
        <f t="shared" si="1"/>
        <v>l.c</v>
      </c>
      <c r="C51" s="184" t="s">
        <v>462</v>
      </c>
      <c r="D51" s="185" t="s">
        <v>113</v>
      </c>
      <c r="E51" s="186">
        <v>1</v>
      </c>
      <c r="F51" s="36"/>
      <c r="G51" s="36"/>
      <c r="H51" s="36"/>
      <c r="I51" s="36"/>
      <c r="J51" s="36"/>
      <c r="K51" s="36"/>
      <c r="L51" s="36"/>
      <c r="M51" s="36"/>
      <c r="N51" s="36"/>
      <c r="O51" s="36"/>
      <c r="P51" s="36"/>
    </row>
    <row r="52" spans="1:16" ht="12.95">
      <c r="A52" s="100">
        <f>IF(D52="","",COUNTIF(B$13:$B52,"l.c"))</f>
        <v>36</v>
      </c>
      <c r="B52" s="100" t="str">
        <f t="shared" si="1"/>
        <v>l.c</v>
      </c>
      <c r="C52" s="184" t="s">
        <v>463</v>
      </c>
      <c r="D52" s="185" t="s">
        <v>113</v>
      </c>
      <c r="E52" s="186">
        <v>1</v>
      </c>
      <c r="F52" s="36"/>
      <c r="G52" s="36"/>
      <c r="H52" s="36"/>
      <c r="I52" s="36"/>
      <c r="J52" s="36"/>
      <c r="K52" s="36"/>
      <c r="L52" s="36"/>
      <c r="M52" s="36"/>
      <c r="N52" s="36"/>
      <c r="O52" s="36"/>
      <c r="P52" s="36"/>
    </row>
    <row r="53" spans="1:16" ht="26.1">
      <c r="A53" s="100">
        <f>IF(D53="","",COUNTIF(B$13:$B53,"l.c"))</f>
        <v>37</v>
      </c>
      <c r="B53" s="100" t="str">
        <f t="shared" si="1"/>
        <v>l.c</v>
      </c>
      <c r="C53" s="184" t="s">
        <v>464</v>
      </c>
      <c r="D53" s="185" t="s">
        <v>113</v>
      </c>
      <c r="E53" s="186">
        <v>1</v>
      </c>
      <c r="F53" s="36"/>
      <c r="G53" s="36"/>
      <c r="H53" s="36"/>
      <c r="I53" s="36"/>
      <c r="J53" s="36"/>
      <c r="K53" s="36"/>
      <c r="L53" s="36"/>
      <c r="M53" s="36"/>
      <c r="N53" s="36"/>
      <c r="O53" s="36"/>
      <c r="P53" s="36"/>
    </row>
    <row r="54" spans="1:16" ht="12.95">
      <c r="A54" s="100">
        <f>IF(D54="","",COUNTIF(B$13:$B54,"l.c"))</f>
        <v>38</v>
      </c>
      <c r="B54" s="100" t="str">
        <f t="shared" si="1"/>
        <v>l.c</v>
      </c>
      <c r="C54" s="151" t="s">
        <v>436</v>
      </c>
      <c r="D54" s="173" t="s">
        <v>431</v>
      </c>
      <c r="E54" s="174">
        <f>E47-E48</f>
        <v>92.4</v>
      </c>
      <c r="F54" s="36"/>
      <c r="G54" s="36"/>
      <c r="H54" s="36"/>
      <c r="I54" s="36"/>
      <c r="J54" s="36"/>
      <c r="K54" s="36"/>
      <c r="L54" s="36"/>
      <c r="M54" s="36"/>
      <c r="N54" s="36"/>
      <c r="O54" s="36"/>
      <c r="P54" s="36"/>
    </row>
    <row r="55" spans="1:16" ht="12.95">
      <c r="A55" s="100">
        <f>IF(D55="","",COUNTIF(B$13:$B55,"l.c"))</f>
        <v>39</v>
      </c>
      <c r="B55" s="100" t="str">
        <f t="shared" si="1"/>
        <v>l.c</v>
      </c>
      <c r="C55" s="151" t="s">
        <v>437</v>
      </c>
      <c r="D55" s="173" t="s">
        <v>431</v>
      </c>
      <c r="E55" s="174">
        <f>E48</f>
        <v>20.100000000000001</v>
      </c>
      <c r="F55" s="36"/>
      <c r="G55" s="36"/>
      <c r="H55" s="36"/>
      <c r="I55" s="36"/>
      <c r="J55" s="36"/>
      <c r="K55" s="36"/>
      <c r="L55" s="36"/>
      <c r="M55" s="36"/>
      <c r="N55" s="36"/>
      <c r="O55" s="36"/>
      <c r="P55" s="36"/>
    </row>
    <row r="56" spans="1:16" ht="12.95">
      <c r="A56" s="100">
        <f>IF(D56="","",COUNTIF(B$13:$B56,"l.c"))</f>
        <v>40</v>
      </c>
      <c r="B56" s="100" t="str">
        <f t="shared" si="1"/>
        <v>l.c</v>
      </c>
      <c r="C56" s="151" t="s">
        <v>465</v>
      </c>
      <c r="D56" s="173" t="s">
        <v>439</v>
      </c>
      <c r="E56" s="174">
        <v>1</v>
      </c>
      <c r="F56" s="36"/>
      <c r="G56" s="36"/>
      <c r="H56" s="36"/>
      <c r="I56" s="36"/>
      <c r="J56" s="36"/>
      <c r="K56" s="36"/>
      <c r="L56" s="36"/>
      <c r="M56" s="36"/>
      <c r="N56" s="36"/>
      <c r="O56" s="36"/>
      <c r="P56" s="36"/>
    </row>
    <row r="57" spans="1:16" ht="12.6">
      <c r="A57" s="100" t="str">
        <f>IF(D57="","",COUNTIF(B$13:$B57,"l.c"))</f>
        <v/>
      </c>
      <c r="B57" s="100" t="str">
        <f t="shared" si="0"/>
        <v/>
      </c>
      <c r="C57" s="106"/>
      <c r="D57" s="105"/>
      <c r="E57" s="125"/>
      <c r="F57" s="36"/>
      <c r="G57" s="36"/>
      <c r="H57" s="36"/>
      <c r="I57" s="36"/>
      <c r="J57" s="36"/>
      <c r="K57" s="36"/>
      <c r="L57" s="36"/>
      <c r="M57" s="36"/>
      <c r="N57" s="36"/>
      <c r="O57" s="36"/>
      <c r="P57" s="36"/>
    </row>
    <row r="58" spans="1:16">
      <c r="A58" s="46"/>
      <c r="B58" s="205" t="s">
        <v>92</v>
      </c>
      <c r="C58" s="205"/>
      <c r="D58" s="205"/>
      <c r="E58" s="205"/>
      <c r="F58" s="205"/>
      <c r="G58" s="205"/>
      <c r="H58" s="205"/>
      <c r="I58" s="205"/>
      <c r="J58" s="205"/>
      <c r="K58" s="205"/>
      <c r="L58" s="65">
        <f>SUM(L15:L57)</f>
        <v>0</v>
      </c>
      <c r="M58" s="65">
        <f t="shared" ref="M58:P58" si="2">SUM(M15:M57)</f>
        <v>0</v>
      </c>
      <c r="N58" s="65">
        <f t="shared" si="2"/>
        <v>0</v>
      </c>
      <c r="O58" s="65">
        <f t="shared" si="2"/>
        <v>0</v>
      </c>
      <c r="P58" s="65">
        <f t="shared" si="2"/>
        <v>0</v>
      </c>
    </row>
    <row r="59" spans="1:16">
      <c r="A59" s="27"/>
      <c r="B59" s="27"/>
      <c r="C59" s="28"/>
      <c r="D59" s="187"/>
      <c r="E59" s="187"/>
      <c r="F59" s="27"/>
      <c r="G59" s="27"/>
      <c r="H59" s="27"/>
      <c r="I59" s="27"/>
      <c r="J59" s="27"/>
      <c r="K59" s="27"/>
      <c r="L59" s="27"/>
      <c r="M59" s="27"/>
      <c r="N59" s="27"/>
      <c r="O59" s="27"/>
      <c r="P59" s="27"/>
    </row>
    <row r="60" spans="1:16">
      <c r="A60" s="27"/>
      <c r="B60" s="27"/>
      <c r="C60" s="28"/>
      <c r="D60" s="187"/>
      <c r="E60" s="187"/>
      <c r="F60" s="27"/>
      <c r="G60" s="27"/>
      <c r="H60" s="27"/>
      <c r="I60" s="27"/>
      <c r="J60" s="27"/>
      <c r="K60" s="27"/>
      <c r="L60" s="27"/>
      <c r="M60" s="27"/>
      <c r="N60" s="27"/>
      <c r="O60" s="27"/>
      <c r="P60" s="27"/>
    </row>
    <row r="61" spans="1:16">
      <c r="A61" s="22" t="s">
        <v>9</v>
      </c>
      <c r="B61" s="21"/>
      <c r="C61" s="21"/>
      <c r="D61" s="30"/>
      <c r="E61" s="30"/>
      <c r="F61" s="21"/>
      <c r="G61" s="22"/>
      <c r="H61" s="21"/>
      <c r="I61" s="21"/>
      <c r="J61" s="21"/>
      <c r="K61" s="21"/>
      <c r="L61" s="21"/>
      <c r="M61" s="29"/>
      <c r="N61" s="29"/>
      <c r="O61" s="29"/>
      <c r="P61" s="6"/>
    </row>
    <row r="62" spans="1:16">
      <c r="A62" s="22"/>
      <c r="B62" s="208" t="s">
        <v>10</v>
      </c>
      <c r="C62" s="208"/>
      <c r="D62" s="208"/>
      <c r="E62" s="208"/>
      <c r="F62" s="208"/>
      <c r="G62" s="22"/>
      <c r="H62" s="223"/>
      <c r="I62" s="223"/>
      <c r="J62" s="223"/>
      <c r="K62" s="223"/>
      <c r="L62" s="223"/>
      <c r="M62" s="27"/>
      <c r="N62" s="27"/>
      <c r="O62" s="27"/>
      <c r="P62" s="27"/>
    </row>
    <row r="63" spans="1:16">
      <c r="A63" s="22"/>
      <c r="B63" s="189"/>
      <c r="C63" s="189"/>
      <c r="D63" s="109"/>
      <c r="E63" s="109"/>
      <c r="F63" s="189"/>
      <c r="G63" s="22"/>
      <c r="H63" s="189"/>
      <c r="I63" s="189"/>
      <c r="J63" s="189"/>
      <c r="K63" s="189"/>
      <c r="L63" s="189"/>
      <c r="M63" s="27"/>
      <c r="N63" s="27"/>
      <c r="O63" s="27"/>
      <c r="P63" s="27"/>
    </row>
    <row r="64" spans="1:16">
      <c r="A64" s="1" t="str">
        <f>'1-1.DOP'!$A$42</f>
        <v>Tāme sastādīta: 2025.gada 20. oktobrī</v>
      </c>
      <c r="B64" s="1"/>
      <c r="C64" s="27"/>
      <c r="D64" s="187"/>
      <c r="E64" s="187"/>
      <c r="F64" s="27"/>
      <c r="G64" s="27"/>
      <c r="H64" s="27"/>
      <c r="I64" s="27"/>
      <c r="J64" s="27"/>
      <c r="K64" s="27"/>
      <c r="L64" s="27"/>
      <c r="M64" s="27"/>
      <c r="N64" s="27"/>
      <c r="O64" s="27"/>
      <c r="P64" s="27"/>
    </row>
    <row r="65" spans="1:16">
      <c r="A65" s="187"/>
      <c r="B65" s="187"/>
      <c r="C65" s="27"/>
      <c r="D65" s="187"/>
      <c r="E65" s="187"/>
      <c r="F65" s="27"/>
      <c r="G65" s="27"/>
      <c r="H65" s="27"/>
      <c r="I65" s="27"/>
      <c r="J65" s="27"/>
      <c r="K65" s="27"/>
      <c r="L65" s="27"/>
      <c r="M65" s="27"/>
      <c r="N65" s="27"/>
      <c r="O65" s="27"/>
      <c r="P65" s="27"/>
    </row>
    <row r="66" spans="1:16">
      <c r="A66" s="22" t="s">
        <v>93</v>
      </c>
      <c r="B66" s="21"/>
      <c r="C66" s="21"/>
      <c r="D66" s="30"/>
      <c r="E66" s="30"/>
      <c r="F66" s="21"/>
      <c r="G66" s="29"/>
      <c r="H66" s="29"/>
      <c r="I66" s="29"/>
      <c r="J66" s="6"/>
      <c r="K66" s="27"/>
      <c r="L66" s="27"/>
      <c r="M66" s="27"/>
      <c r="N66" s="27"/>
      <c r="O66" s="27"/>
      <c r="P66" s="27"/>
    </row>
    <row r="67" spans="1:16">
      <c r="A67" s="22"/>
      <c r="B67" s="223" t="s">
        <v>10</v>
      </c>
      <c r="C67" s="223"/>
      <c r="D67" s="223"/>
      <c r="E67" s="223"/>
      <c r="F67" s="223"/>
      <c r="G67" s="27"/>
      <c r="H67" s="27"/>
      <c r="I67" s="27"/>
      <c r="J67" s="27"/>
      <c r="K67" s="27"/>
      <c r="L67" s="27"/>
      <c r="M67" s="27"/>
      <c r="N67" s="27"/>
      <c r="O67" s="27"/>
      <c r="P67" s="27"/>
    </row>
    <row r="68" spans="1:16">
      <c r="A68" s="187"/>
      <c r="B68" s="187"/>
      <c r="C68" s="27"/>
      <c r="D68" s="187"/>
      <c r="E68" s="187"/>
      <c r="F68" s="27"/>
      <c r="G68" s="27"/>
      <c r="H68" s="27"/>
      <c r="I68" s="27"/>
      <c r="J68" s="27"/>
      <c r="K68" s="27"/>
      <c r="L68" s="27"/>
      <c r="M68" s="27"/>
      <c r="N68" s="27"/>
      <c r="O68" s="27"/>
      <c r="P68" s="27"/>
    </row>
    <row r="69" spans="1:16">
      <c r="A69" s="22" t="s">
        <v>11</v>
      </c>
      <c r="B69" s="22"/>
      <c r="C69" s="187"/>
      <c r="D69" s="187"/>
      <c r="E69" s="187"/>
      <c r="F69" s="27"/>
      <c r="G69" s="27"/>
      <c r="H69" s="27"/>
      <c r="I69" s="27"/>
      <c r="J69" s="27"/>
      <c r="K69" s="27"/>
      <c r="L69" s="27"/>
      <c r="M69" s="27"/>
      <c r="N69" s="27"/>
      <c r="O69" s="27"/>
      <c r="P69" s="27"/>
    </row>
    <row r="70" spans="1:16">
      <c r="A70" s="27"/>
      <c r="B70" s="27"/>
      <c r="C70" s="27"/>
      <c r="D70" s="187"/>
      <c r="E70" s="187"/>
      <c r="F70" s="27"/>
      <c r="G70" s="27"/>
      <c r="H70" s="27"/>
      <c r="I70" s="27"/>
      <c r="J70" s="27"/>
      <c r="K70" s="27"/>
      <c r="L70" s="27"/>
      <c r="M70" s="27"/>
      <c r="N70" s="27"/>
      <c r="O70" s="27"/>
      <c r="P70" s="27"/>
    </row>
    <row r="71" spans="1:16">
      <c r="A71" s="27"/>
      <c r="B71" s="27"/>
      <c r="C71" s="27"/>
      <c r="D71" s="187"/>
      <c r="E71" s="187"/>
      <c r="F71" s="27"/>
      <c r="G71" s="27"/>
      <c r="H71" s="27"/>
      <c r="I71" s="27"/>
      <c r="J71" s="27"/>
      <c r="K71" s="27"/>
      <c r="L71" s="27"/>
      <c r="M71" s="27"/>
      <c r="N71" s="27"/>
      <c r="O71" s="27"/>
      <c r="P71" s="27"/>
    </row>
    <row r="72" spans="1:16">
      <c r="A72" s="203" t="s">
        <v>13</v>
      </c>
      <c r="B72" s="203"/>
      <c r="C72" s="203"/>
      <c r="D72" s="203"/>
      <c r="E72" s="203"/>
      <c r="F72" s="203"/>
      <c r="G72" s="203"/>
      <c r="H72" s="203"/>
      <c r="I72" s="203"/>
      <c r="J72" s="203"/>
      <c r="K72" s="203"/>
      <c r="L72" s="203"/>
      <c r="M72" s="203"/>
      <c r="N72" s="203"/>
      <c r="O72" s="203"/>
      <c r="P72" s="203"/>
    </row>
  </sheetData>
  <mergeCells count="18">
    <mergeCell ref="A72:P72"/>
    <mergeCell ref="A11:A12"/>
    <mergeCell ref="B11:B12"/>
    <mergeCell ref="C11:C12"/>
    <mergeCell ref="D11:D12"/>
    <mergeCell ref="E11:E12"/>
    <mergeCell ref="F11:K11"/>
    <mergeCell ref="L11:P11"/>
    <mergeCell ref="B58:K58"/>
    <mergeCell ref="B62:F62"/>
    <mergeCell ref="H62:L62"/>
    <mergeCell ref="B67:F67"/>
    <mergeCell ref="A7:F7"/>
    <mergeCell ref="A1:Q1"/>
    <mergeCell ref="A2:Q2"/>
    <mergeCell ref="A3:P3"/>
    <mergeCell ref="A5:F5"/>
    <mergeCell ref="A6:F6"/>
  </mergeCells>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Zeros="0" zoomScale="120" zoomScaleNormal="120" zoomScaleSheetLayoutView="100" workbookViewId="0">
      <selection activeCell="A6" sqref="A6:F6"/>
    </sheetView>
  </sheetViews>
  <sheetFormatPr defaultColWidth="8.85546875" defaultRowHeight="11.45"/>
  <cols>
    <col min="1" max="1" width="4.5703125" style="1" customWidth="1"/>
    <col min="2" max="2" width="6.42578125" style="1" customWidth="1"/>
    <col min="3" max="3" width="26.140625" style="1" customWidth="1"/>
    <col min="4" max="4" width="12.42578125" style="1" customWidth="1"/>
    <col min="5" max="5" width="10.5703125" style="1" customWidth="1"/>
    <col min="6" max="6" width="13.5703125" style="1" customWidth="1"/>
    <col min="7" max="7" width="10.140625" style="1" customWidth="1"/>
    <col min="8" max="8" width="9.140625" style="1" customWidth="1"/>
    <col min="9" max="256" width="8.85546875" style="1"/>
    <col min="257" max="257" width="4.5703125" style="1" customWidth="1"/>
    <col min="258" max="258" width="6.42578125" style="1" customWidth="1"/>
    <col min="259" max="259" width="26.140625" style="1" customWidth="1"/>
    <col min="260" max="260" width="12.42578125" style="1" customWidth="1"/>
    <col min="261" max="261" width="10.5703125" style="1" customWidth="1"/>
    <col min="262" max="262" width="13.5703125" style="1" customWidth="1"/>
    <col min="263" max="263" width="10.140625" style="1" customWidth="1"/>
    <col min="264" max="264" width="9.140625" style="1" customWidth="1"/>
    <col min="265" max="512" width="8.85546875" style="1"/>
    <col min="513" max="513" width="4.5703125" style="1" customWidth="1"/>
    <col min="514" max="514" width="6.42578125" style="1" customWidth="1"/>
    <col min="515" max="515" width="26.140625" style="1" customWidth="1"/>
    <col min="516" max="516" width="12.42578125" style="1" customWidth="1"/>
    <col min="517" max="517" width="10.5703125" style="1" customWidth="1"/>
    <col min="518" max="518" width="13.5703125" style="1" customWidth="1"/>
    <col min="519" max="519" width="10.140625" style="1" customWidth="1"/>
    <col min="520" max="520" width="9.140625" style="1" customWidth="1"/>
    <col min="521" max="768" width="8.85546875" style="1"/>
    <col min="769" max="769" width="4.5703125" style="1" customWidth="1"/>
    <col min="770" max="770" width="6.42578125" style="1" customWidth="1"/>
    <col min="771" max="771" width="26.140625" style="1" customWidth="1"/>
    <col min="772" max="772" width="12.42578125" style="1" customWidth="1"/>
    <col min="773" max="773" width="10.5703125" style="1" customWidth="1"/>
    <col min="774" max="774" width="13.5703125" style="1" customWidth="1"/>
    <col min="775" max="775" width="10.140625" style="1" customWidth="1"/>
    <col min="776" max="776" width="9.140625" style="1" customWidth="1"/>
    <col min="777" max="1024" width="8.85546875" style="1"/>
    <col min="1025" max="1025" width="4.5703125" style="1" customWidth="1"/>
    <col min="1026" max="1026" width="6.42578125" style="1" customWidth="1"/>
    <col min="1027" max="1027" width="26.140625" style="1" customWidth="1"/>
    <col min="1028" max="1028" width="12.42578125" style="1" customWidth="1"/>
    <col min="1029" max="1029" width="10.5703125" style="1" customWidth="1"/>
    <col min="1030" max="1030" width="13.5703125" style="1" customWidth="1"/>
    <col min="1031" max="1031" width="10.140625" style="1" customWidth="1"/>
    <col min="1032" max="1032" width="9.140625" style="1" customWidth="1"/>
    <col min="1033" max="1280" width="8.85546875" style="1"/>
    <col min="1281" max="1281" width="4.5703125" style="1" customWidth="1"/>
    <col min="1282" max="1282" width="6.42578125" style="1" customWidth="1"/>
    <col min="1283" max="1283" width="26.140625" style="1" customWidth="1"/>
    <col min="1284" max="1284" width="12.42578125" style="1" customWidth="1"/>
    <col min="1285" max="1285" width="10.5703125" style="1" customWidth="1"/>
    <col min="1286" max="1286" width="13.5703125" style="1" customWidth="1"/>
    <col min="1287" max="1287" width="10.140625" style="1" customWidth="1"/>
    <col min="1288" max="1288" width="9.140625" style="1" customWidth="1"/>
    <col min="1289" max="1536" width="8.85546875" style="1"/>
    <col min="1537" max="1537" width="4.5703125" style="1" customWidth="1"/>
    <col min="1538" max="1538" width="6.42578125" style="1" customWidth="1"/>
    <col min="1539" max="1539" width="26.140625" style="1" customWidth="1"/>
    <col min="1540" max="1540" width="12.42578125" style="1" customWidth="1"/>
    <col min="1541" max="1541" width="10.5703125" style="1" customWidth="1"/>
    <col min="1542" max="1542" width="13.5703125" style="1" customWidth="1"/>
    <col min="1543" max="1543" width="10.140625" style="1" customWidth="1"/>
    <col min="1544" max="1544" width="9.140625" style="1" customWidth="1"/>
    <col min="1545" max="1792" width="8.85546875" style="1"/>
    <col min="1793" max="1793" width="4.5703125" style="1" customWidth="1"/>
    <col min="1794" max="1794" width="6.42578125" style="1" customWidth="1"/>
    <col min="1795" max="1795" width="26.140625" style="1" customWidth="1"/>
    <col min="1796" max="1796" width="12.42578125" style="1" customWidth="1"/>
    <col min="1797" max="1797" width="10.5703125" style="1" customWidth="1"/>
    <col min="1798" max="1798" width="13.5703125" style="1" customWidth="1"/>
    <col min="1799" max="1799" width="10.140625" style="1" customWidth="1"/>
    <col min="1800" max="1800" width="9.140625" style="1" customWidth="1"/>
    <col min="1801" max="2048" width="8.85546875" style="1"/>
    <col min="2049" max="2049" width="4.5703125" style="1" customWidth="1"/>
    <col min="2050" max="2050" width="6.42578125" style="1" customWidth="1"/>
    <col min="2051" max="2051" width="26.140625" style="1" customWidth="1"/>
    <col min="2052" max="2052" width="12.42578125" style="1" customWidth="1"/>
    <col min="2053" max="2053" width="10.5703125" style="1" customWidth="1"/>
    <col min="2054" max="2054" width="13.5703125" style="1" customWidth="1"/>
    <col min="2055" max="2055" width="10.140625" style="1" customWidth="1"/>
    <col min="2056" max="2056" width="9.140625" style="1" customWidth="1"/>
    <col min="2057" max="2304" width="8.85546875" style="1"/>
    <col min="2305" max="2305" width="4.5703125" style="1" customWidth="1"/>
    <col min="2306" max="2306" width="6.42578125" style="1" customWidth="1"/>
    <col min="2307" max="2307" width="26.140625" style="1" customWidth="1"/>
    <col min="2308" max="2308" width="12.42578125" style="1" customWidth="1"/>
    <col min="2309" max="2309" width="10.5703125" style="1" customWidth="1"/>
    <col min="2310" max="2310" width="13.5703125" style="1" customWidth="1"/>
    <col min="2311" max="2311" width="10.140625" style="1" customWidth="1"/>
    <col min="2312" max="2312" width="9.140625" style="1" customWidth="1"/>
    <col min="2313" max="2560" width="8.85546875" style="1"/>
    <col min="2561" max="2561" width="4.5703125" style="1" customWidth="1"/>
    <col min="2562" max="2562" width="6.42578125" style="1" customWidth="1"/>
    <col min="2563" max="2563" width="26.140625" style="1" customWidth="1"/>
    <col min="2564" max="2564" width="12.42578125" style="1" customWidth="1"/>
    <col min="2565" max="2565" width="10.5703125" style="1" customWidth="1"/>
    <col min="2566" max="2566" width="13.5703125" style="1" customWidth="1"/>
    <col min="2567" max="2567" width="10.140625" style="1" customWidth="1"/>
    <col min="2568" max="2568" width="9.140625" style="1" customWidth="1"/>
    <col min="2569" max="2816" width="8.85546875" style="1"/>
    <col min="2817" max="2817" width="4.5703125" style="1" customWidth="1"/>
    <col min="2818" max="2818" width="6.42578125" style="1" customWidth="1"/>
    <col min="2819" max="2819" width="26.140625" style="1" customWidth="1"/>
    <col min="2820" max="2820" width="12.42578125" style="1" customWidth="1"/>
    <col min="2821" max="2821" width="10.5703125" style="1" customWidth="1"/>
    <col min="2822" max="2822" width="13.5703125" style="1" customWidth="1"/>
    <col min="2823" max="2823" width="10.140625" style="1" customWidth="1"/>
    <col min="2824" max="2824" width="9.140625" style="1" customWidth="1"/>
    <col min="2825" max="3072" width="8.85546875" style="1"/>
    <col min="3073" max="3073" width="4.5703125" style="1" customWidth="1"/>
    <col min="3074" max="3074" width="6.42578125" style="1" customWidth="1"/>
    <col min="3075" max="3075" width="26.140625" style="1" customWidth="1"/>
    <col min="3076" max="3076" width="12.42578125" style="1" customWidth="1"/>
    <col min="3077" max="3077" width="10.5703125" style="1" customWidth="1"/>
    <col min="3078" max="3078" width="13.5703125" style="1" customWidth="1"/>
    <col min="3079" max="3079" width="10.140625" style="1" customWidth="1"/>
    <col min="3080" max="3080" width="9.140625" style="1" customWidth="1"/>
    <col min="3081" max="3328" width="8.85546875" style="1"/>
    <col min="3329" max="3329" width="4.5703125" style="1" customWidth="1"/>
    <col min="3330" max="3330" width="6.42578125" style="1" customWidth="1"/>
    <col min="3331" max="3331" width="26.140625" style="1" customWidth="1"/>
    <col min="3332" max="3332" width="12.42578125" style="1" customWidth="1"/>
    <col min="3333" max="3333" width="10.5703125" style="1" customWidth="1"/>
    <col min="3334" max="3334" width="13.5703125" style="1" customWidth="1"/>
    <col min="3335" max="3335" width="10.140625" style="1" customWidth="1"/>
    <col min="3336" max="3336" width="9.140625" style="1" customWidth="1"/>
    <col min="3337" max="3584" width="8.85546875" style="1"/>
    <col min="3585" max="3585" width="4.5703125" style="1" customWidth="1"/>
    <col min="3586" max="3586" width="6.42578125" style="1" customWidth="1"/>
    <col min="3587" max="3587" width="26.140625" style="1" customWidth="1"/>
    <col min="3588" max="3588" width="12.42578125" style="1" customWidth="1"/>
    <col min="3589" max="3589" width="10.5703125" style="1" customWidth="1"/>
    <col min="3590" max="3590" width="13.5703125" style="1" customWidth="1"/>
    <col min="3591" max="3591" width="10.140625" style="1" customWidth="1"/>
    <col min="3592" max="3592" width="9.140625" style="1" customWidth="1"/>
    <col min="3593" max="3840" width="8.85546875" style="1"/>
    <col min="3841" max="3841" width="4.5703125" style="1" customWidth="1"/>
    <col min="3842" max="3842" width="6.42578125" style="1" customWidth="1"/>
    <col min="3843" max="3843" width="26.140625" style="1" customWidth="1"/>
    <col min="3844" max="3844" width="12.42578125" style="1" customWidth="1"/>
    <col min="3845" max="3845" width="10.5703125" style="1" customWidth="1"/>
    <col min="3846" max="3846" width="13.5703125" style="1" customWidth="1"/>
    <col min="3847" max="3847" width="10.140625" style="1" customWidth="1"/>
    <col min="3848" max="3848" width="9.140625" style="1" customWidth="1"/>
    <col min="3849" max="4096" width="8.85546875" style="1"/>
    <col min="4097" max="4097" width="4.5703125" style="1" customWidth="1"/>
    <col min="4098" max="4098" width="6.42578125" style="1" customWidth="1"/>
    <col min="4099" max="4099" width="26.140625" style="1" customWidth="1"/>
    <col min="4100" max="4100" width="12.42578125" style="1" customWidth="1"/>
    <col min="4101" max="4101" width="10.5703125" style="1" customWidth="1"/>
    <col min="4102" max="4102" width="13.5703125" style="1" customWidth="1"/>
    <col min="4103" max="4103" width="10.140625" style="1" customWidth="1"/>
    <col min="4104" max="4104" width="9.140625" style="1" customWidth="1"/>
    <col min="4105" max="4352" width="8.85546875" style="1"/>
    <col min="4353" max="4353" width="4.5703125" style="1" customWidth="1"/>
    <col min="4354" max="4354" width="6.42578125" style="1" customWidth="1"/>
    <col min="4355" max="4355" width="26.140625" style="1" customWidth="1"/>
    <col min="4356" max="4356" width="12.42578125" style="1" customWidth="1"/>
    <col min="4357" max="4357" width="10.5703125" style="1" customWidth="1"/>
    <col min="4358" max="4358" width="13.5703125" style="1" customWidth="1"/>
    <col min="4359" max="4359" width="10.140625" style="1" customWidth="1"/>
    <col min="4360" max="4360" width="9.140625" style="1" customWidth="1"/>
    <col min="4361" max="4608" width="8.85546875" style="1"/>
    <col min="4609" max="4609" width="4.5703125" style="1" customWidth="1"/>
    <col min="4610" max="4610" width="6.42578125" style="1" customWidth="1"/>
    <col min="4611" max="4611" width="26.140625" style="1" customWidth="1"/>
    <col min="4612" max="4612" width="12.42578125" style="1" customWidth="1"/>
    <col min="4613" max="4613" width="10.5703125" style="1" customWidth="1"/>
    <col min="4614" max="4614" width="13.5703125" style="1" customWidth="1"/>
    <col min="4615" max="4615" width="10.140625" style="1" customWidth="1"/>
    <col min="4616" max="4616" width="9.140625" style="1" customWidth="1"/>
    <col min="4617" max="4864" width="8.85546875" style="1"/>
    <col min="4865" max="4865" width="4.5703125" style="1" customWidth="1"/>
    <col min="4866" max="4866" width="6.42578125" style="1" customWidth="1"/>
    <col min="4867" max="4867" width="26.140625" style="1" customWidth="1"/>
    <col min="4868" max="4868" width="12.42578125" style="1" customWidth="1"/>
    <col min="4869" max="4869" width="10.5703125" style="1" customWidth="1"/>
    <col min="4870" max="4870" width="13.5703125" style="1" customWidth="1"/>
    <col min="4871" max="4871" width="10.140625" style="1" customWidth="1"/>
    <col min="4872" max="4872" width="9.140625" style="1" customWidth="1"/>
    <col min="4873" max="5120" width="8.85546875" style="1"/>
    <col min="5121" max="5121" width="4.5703125" style="1" customWidth="1"/>
    <col min="5122" max="5122" width="6.42578125" style="1" customWidth="1"/>
    <col min="5123" max="5123" width="26.140625" style="1" customWidth="1"/>
    <col min="5124" max="5124" width="12.42578125" style="1" customWidth="1"/>
    <col min="5125" max="5125" width="10.5703125" style="1" customWidth="1"/>
    <col min="5126" max="5126" width="13.5703125" style="1" customWidth="1"/>
    <col min="5127" max="5127" width="10.140625" style="1" customWidth="1"/>
    <col min="5128" max="5128" width="9.140625" style="1" customWidth="1"/>
    <col min="5129" max="5376" width="8.85546875" style="1"/>
    <col min="5377" max="5377" width="4.5703125" style="1" customWidth="1"/>
    <col min="5378" max="5378" width="6.42578125" style="1" customWidth="1"/>
    <col min="5379" max="5379" width="26.140625" style="1" customWidth="1"/>
    <col min="5380" max="5380" width="12.42578125" style="1" customWidth="1"/>
    <col min="5381" max="5381" width="10.5703125" style="1" customWidth="1"/>
    <col min="5382" max="5382" width="13.5703125" style="1" customWidth="1"/>
    <col min="5383" max="5383" width="10.140625" style="1" customWidth="1"/>
    <col min="5384" max="5384" width="9.140625" style="1" customWidth="1"/>
    <col min="5385" max="5632" width="8.85546875" style="1"/>
    <col min="5633" max="5633" width="4.5703125" style="1" customWidth="1"/>
    <col min="5634" max="5634" width="6.42578125" style="1" customWidth="1"/>
    <col min="5635" max="5635" width="26.140625" style="1" customWidth="1"/>
    <col min="5636" max="5636" width="12.42578125" style="1" customWidth="1"/>
    <col min="5637" max="5637" width="10.5703125" style="1" customWidth="1"/>
    <col min="5638" max="5638" width="13.5703125" style="1" customWidth="1"/>
    <col min="5639" max="5639" width="10.140625" style="1" customWidth="1"/>
    <col min="5640" max="5640" width="9.140625" style="1" customWidth="1"/>
    <col min="5641" max="5888" width="8.85546875" style="1"/>
    <col min="5889" max="5889" width="4.5703125" style="1" customWidth="1"/>
    <col min="5890" max="5890" width="6.42578125" style="1" customWidth="1"/>
    <col min="5891" max="5891" width="26.140625" style="1" customWidth="1"/>
    <col min="5892" max="5892" width="12.42578125" style="1" customWidth="1"/>
    <col min="5893" max="5893" width="10.5703125" style="1" customWidth="1"/>
    <col min="5894" max="5894" width="13.5703125" style="1" customWidth="1"/>
    <col min="5895" max="5895" width="10.140625" style="1" customWidth="1"/>
    <col min="5896" max="5896" width="9.140625" style="1" customWidth="1"/>
    <col min="5897" max="6144" width="8.85546875" style="1"/>
    <col min="6145" max="6145" width="4.5703125" style="1" customWidth="1"/>
    <col min="6146" max="6146" width="6.42578125" style="1" customWidth="1"/>
    <col min="6147" max="6147" width="26.140625" style="1" customWidth="1"/>
    <col min="6148" max="6148" width="12.42578125" style="1" customWidth="1"/>
    <col min="6149" max="6149" width="10.5703125" style="1" customWidth="1"/>
    <col min="6150" max="6150" width="13.5703125" style="1" customWidth="1"/>
    <col min="6151" max="6151" width="10.140625" style="1" customWidth="1"/>
    <col min="6152" max="6152" width="9.140625" style="1" customWidth="1"/>
    <col min="6153" max="6400" width="8.85546875" style="1"/>
    <col min="6401" max="6401" width="4.5703125" style="1" customWidth="1"/>
    <col min="6402" max="6402" width="6.42578125" style="1" customWidth="1"/>
    <col min="6403" max="6403" width="26.140625" style="1" customWidth="1"/>
    <col min="6404" max="6404" width="12.42578125" style="1" customWidth="1"/>
    <col min="6405" max="6405" width="10.5703125" style="1" customWidth="1"/>
    <col min="6406" max="6406" width="13.5703125" style="1" customWidth="1"/>
    <col min="6407" max="6407" width="10.140625" style="1" customWidth="1"/>
    <col min="6408" max="6408" width="9.140625" style="1" customWidth="1"/>
    <col min="6409" max="6656" width="8.85546875" style="1"/>
    <col min="6657" max="6657" width="4.5703125" style="1" customWidth="1"/>
    <col min="6658" max="6658" width="6.42578125" style="1" customWidth="1"/>
    <col min="6659" max="6659" width="26.140625" style="1" customWidth="1"/>
    <col min="6660" max="6660" width="12.42578125" style="1" customWidth="1"/>
    <col min="6661" max="6661" width="10.5703125" style="1" customWidth="1"/>
    <col min="6662" max="6662" width="13.5703125" style="1" customWidth="1"/>
    <col min="6663" max="6663" width="10.140625" style="1" customWidth="1"/>
    <col min="6664" max="6664" width="9.140625" style="1" customWidth="1"/>
    <col min="6665" max="6912" width="8.85546875" style="1"/>
    <col min="6913" max="6913" width="4.5703125" style="1" customWidth="1"/>
    <col min="6914" max="6914" width="6.42578125" style="1" customWidth="1"/>
    <col min="6915" max="6915" width="26.140625" style="1" customWidth="1"/>
    <col min="6916" max="6916" width="12.42578125" style="1" customWidth="1"/>
    <col min="6917" max="6917" width="10.5703125" style="1" customWidth="1"/>
    <col min="6918" max="6918" width="13.5703125" style="1" customWidth="1"/>
    <col min="6919" max="6919" width="10.140625" style="1" customWidth="1"/>
    <col min="6920" max="6920" width="9.140625" style="1" customWidth="1"/>
    <col min="6921" max="7168" width="8.85546875" style="1"/>
    <col min="7169" max="7169" width="4.5703125" style="1" customWidth="1"/>
    <col min="7170" max="7170" width="6.42578125" style="1" customWidth="1"/>
    <col min="7171" max="7171" width="26.140625" style="1" customWidth="1"/>
    <col min="7172" max="7172" width="12.42578125" style="1" customWidth="1"/>
    <col min="7173" max="7173" width="10.5703125" style="1" customWidth="1"/>
    <col min="7174" max="7174" width="13.5703125" style="1" customWidth="1"/>
    <col min="7175" max="7175" width="10.140625" style="1" customWidth="1"/>
    <col min="7176" max="7176" width="9.140625" style="1" customWidth="1"/>
    <col min="7177" max="7424" width="8.85546875" style="1"/>
    <col min="7425" max="7425" width="4.5703125" style="1" customWidth="1"/>
    <col min="7426" max="7426" width="6.42578125" style="1" customWidth="1"/>
    <col min="7427" max="7427" width="26.140625" style="1" customWidth="1"/>
    <col min="7428" max="7428" width="12.42578125" style="1" customWidth="1"/>
    <col min="7429" max="7429" width="10.5703125" style="1" customWidth="1"/>
    <col min="7430" max="7430" width="13.5703125" style="1" customWidth="1"/>
    <col min="7431" max="7431" width="10.140625" style="1" customWidth="1"/>
    <col min="7432" max="7432" width="9.140625" style="1" customWidth="1"/>
    <col min="7433" max="7680" width="8.85546875" style="1"/>
    <col min="7681" max="7681" width="4.5703125" style="1" customWidth="1"/>
    <col min="7682" max="7682" width="6.42578125" style="1" customWidth="1"/>
    <col min="7683" max="7683" width="26.140625" style="1" customWidth="1"/>
    <col min="7684" max="7684" width="12.42578125" style="1" customWidth="1"/>
    <col min="7685" max="7685" width="10.5703125" style="1" customWidth="1"/>
    <col min="7686" max="7686" width="13.5703125" style="1" customWidth="1"/>
    <col min="7687" max="7687" width="10.140625" style="1" customWidth="1"/>
    <col min="7688" max="7688" width="9.140625" style="1" customWidth="1"/>
    <col min="7689" max="7936" width="8.85546875" style="1"/>
    <col min="7937" max="7937" width="4.5703125" style="1" customWidth="1"/>
    <col min="7938" max="7938" width="6.42578125" style="1" customWidth="1"/>
    <col min="7939" max="7939" width="26.140625" style="1" customWidth="1"/>
    <col min="7940" max="7940" width="12.42578125" style="1" customWidth="1"/>
    <col min="7941" max="7941" width="10.5703125" style="1" customWidth="1"/>
    <col min="7942" max="7942" width="13.5703125" style="1" customWidth="1"/>
    <col min="7943" max="7943" width="10.140625" style="1" customWidth="1"/>
    <col min="7944" max="7944" width="9.140625" style="1" customWidth="1"/>
    <col min="7945" max="8192" width="8.85546875" style="1"/>
    <col min="8193" max="8193" width="4.5703125" style="1" customWidth="1"/>
    <col min="8194" max="8194" width="6.42578125" style="1" customWidth="1"/>
    <col min="8195" max="8195" width="26.140625" style="1" customWidth="1"/>
    <col min="8196" max="8196" width="12.42578125" style="1" customWidth="1"/>
    <col min="8197" max="8197" width="10.5703125" style="1" customWidth="1"/>
    <col min="8198" max="8198" width="13.5703125" style="1" customWidth="1"/>
    <col min="8199" max="8199" width="10.140625" style="1" customWidth="1"/>
    <col min="8200" max="8200" width="9.140625" style="1" customWidth="1"/>
    <col min="8201" max="8448" width="8.85546875" style="1"/>
    <col min="8449" max="8449" width="4.5703125" style="1" customWidth="1"/>
    <col min="8450" max="8450" width="6.42578125" style="1" customWidth="1"/>
    <col min="8451" max="8451" width="26.140625" style="1" customWidth="1"/>
    <col min="8452" max="8452" width="12.42578125" style="1" customWidth="1"/>
    <col min="8453" max="8453" width="10.5703125" style="1" customWidth="1"/>
    <col min="8454" max="8454" width="13.5703125" style="1" customWidth="1"/>
    <col min="8455" max="8455" width="10.140625" style="1" customWidth="1"/>
    <col min="8456" max="8456" width="9.140625" style="1" customWidth="1"/>
    <col min="8457" max="8704" width="8.85546875" style="1"/>
    <col min="8705" max="8705" width="4.5703125" style="1" customWidth="1"/>
    <col min="8706" max="8706" width="6.42578125" style="1" customWidth="1"/>
    <col min="8707" max="8707" width="26.140625" style="1" customWidth="1"/>
    <col min="8708" max="8708" width="12.42578125" style="1" customWidth="1"/>
    <col min="8709" max="8709" width="10.5703125" style="1" customWidth="1"/>
    <col min="8710" max="8710" width="13.5703125" style="1" customWidth="1"/>
    <col min="8711" max="8711" width="10.140625" style="1" customWidth="1"/>
    <col min="8712" max="8712" width="9.140625" style="1" customWidth="1"/>
    <col min="8713" max="8960" width="8.85546875" style="1"/>
    <col min="8961" max="8961" width="4.5703125" style="1" customWidth="1"/>
    <col min="8962" max="8962" width="6.42578125" style="1" customWidth="1"/>
    <col min="8963" max="8963" width="26.140625" style="1" customWidth="1"/>
    <col min="8964" max="8964" width="12.42578125" style="1" customWidth="1"/>
    <col min="8965" max="8965" width="10.5703125" style="1" customWidth="1"/>
    <col min="8966" max="8966" width="13.5703125" style="1" customWidth="1"/>
    <col min="8967" max="8967" width="10.140625" style="1" customWidth="1"/>
    <col min="8968" max="8968" width="9.140625" style="1" customWidth="1"/>
    <col min="8969" max="9216" width="8.85546875" style="1"/>
    <col min="9217" max="9217" width="4.5703125" style="1" customWidth="1"/>
    <col min="9218" max="9218" width="6.42578125" style="1" customWidth="1"/>
    <col min="9219" max="9219" width="26.140625" style="1" customWidth="1"/>
    <col min="9220" max="9220" width="12.42578125" style="1" customWidth="1"/>
    <col min="9221" max="9221" width="10.5703125" style="1" customWidth="1"/>
    <col min="9222" max="9222" width="13.5703125" style="1" customWidth="1"/>
    <col min="9223" max="9223" width="10.140625" style="1" customWidth="1"/>
    <col min="9224" max="9224" width="9.140625" style="1" customWidth="1"/>
    <col min="9225" max="9472" width="8.85546875" style="1"/>
    <col min="9473" max="9473" width="4.5703125" style="1" customWidth="1"/>
    <col min="9474" max="9474" width="6.42578125" style="1" customWidth="1"/>
    <col min="9475" max="9475" width="26.140625" style="1" customWidth="1"/>
    <col min="9476" max="9476" width="12.42578125" style="1" customWidth="1"/>
    <col min="9477" max="9477" width="10.5703125" style="1" customWidth="1"/>
    <col min="9478" max="9478" width="13.5703125" style="1" customWidth="1"/>
    <col min="9479" max="9479" width="10.140625" style="1" customWidth="1"/>
    <col min="9480" max="9480" width="9.140625" style="1" customWidth="1"/>
    <col min="9481" max="9728" width="8.85546875" style="1"/>
    <col min="9729" max="9729" width="4.5703125" style="1" customWidth="1"/>
    <col min="9730" max="9730" width="6.42578125" style="1" customWidth="1"/>
    <col min="9731" max="9731" width="26.140625" style="1" customWidth="1"/>
    <col min="9732" max="9732" width="12.42578125" style="1" customWidth="1"/>
    <col min="9733" max="9733" width="10.5703125" style="1" customWidth="1"/>
    <col min="9734" max="9734" width="13.5703125" style="1" customWidth="1"/>
    <col min="9735" max="9735" width="10.140625" style="1" customWidth="1"/>
    <col min="9736" max="9736" width="9.140625" style="1" customWidth="1"/>
    <col min="9737" max="9984" width="8.85546875" style="1"/>
    <col min="9985" max="9985" width="4.5703125" style="1" customWidth="1"/>
    <col min="9986" max="9986" width="6.42578125" style="1" customWidth="1"/>
    <col min="9987" max="9987" width="26.140625" style="1" customWidth="1"/>
    <col min="9988" max="9988" width="12.42578125" style="1" customWidth="1"/>
    <col min="9989" max="9989" width="10.5703125" style="1" customWidth="1"/>
    <col min="9990" max="9990" width="13.5703125" style="1" customWidth="1"/>
    <col min="9991" max="9991" width="10.140625" style="1" customWidth="1"/>
    <col min="9992" max="9992" width="9.140625" style="1" customWidth="1"/>
    <col min="9993" max="10240" width="8.85546875" style="1"/>
    <col min="10241" max="10241" width="4.5703125" style="1" customWidth="1"/>
    <col min="10242" max="10242" width="6.42578125" style="1" customWidth="1"/>
    <col min="10243" max="10243" width="26.140625" style="1" customWidth="1"/>
    <col min="10244" max="10244" width="12.42578125" style="1" customWidth="1"/>
    <col min="10245" max="10245" width="10.5703125" style="1" customWidth="1"/>
    <col min="10246" max="10246" width="13.5703125" style="1" customWidth="1"/>
    <col min="10247" max="10247" width="10.140625" style="1" customWidth="1"/>
    <col min="10248" max="10248" width="9.140625" style="1" customWidth="1"/>
    <col min="10249" max="10496" width="8.85546875" style="1"/>
    <col min="10497" max="10497" width="4.5703125" style="1" customWidth="1"/>
    <col min="10498" max="10498" width="6.42578125" style="1" customWidth="1"/>
    <col min="10499" max="10499" width="26.140625" style="1" customWidth="1"/>
    <col min="10500" max="10500" width="12.42578125" style="1" customWidth="1"/>
    <col min="10501" max="10501" width="10.5703125" style="1" customWidth="1"/>
    <col min="10502" max="10502" width="13.5703125" style="1" customWidth="1"/>
    <col min="10503" max="10503" width="10.140625" style="1" customWidth="1"/>
    <col min="10504" max="10504" width="9.140625" style="1" customWidth="1"/>
    <col min="10505" max="10752" width="8.85546875" style="1"/>
    <col min="10753" max="10753" width="4.5703125" style="1" customWidth="1"/>
    <col min="10754" max="10754" width="6.42578125" style="1" customWidth="1"/>
    <col min="10755" max="10755" width="26.140625" style="1" customWidth="1"/>
    <col min="10756" max="10756" width="12.42578125" style="1" customWidth="1"/>
    <col min="10757" max="10757" width="10.5703125" style="1" customWidth="1"/>
    <col min="10758" max="10758" width="13.5703125" style="1" customWidth="1"/>
    <col min="10759" max="10759" width="10.140625" style="1" customWidth="1"/>
    <col min="10760" max="10760" width="9.140625" style="1" customWidth="1"/>
    <col min="10761" max="11008" width="8.85546875" style="1"/>
    <col min="11009" max="11009" width="4.5703125" style="1" customWidth="1"/>
    <col min="11010" max="11010" width="6.42578125" style="1" customWidth="1"/>
    <col min="11011" max="11011" width="26.140625" style="1" customWidth="1"/>
    <col min="11012" max="11012" width="12.42578125" style="1" customWidth="1"/>
    <col min="11013" max="11013" width="10.5703125" style="1" customWidth="1"/>
    <col min="11014" max="11014" width="13.5703125" style="1" customWidth="1"/>
    <col min="11015" max="11015" width="10.140625" style="1" customWidth="1"/>
    <col min="11016" max="11016" width="9.140625" style="1" customWidth="1"/>
    <col min="11017" max="11264" width="8.85546875" style="1"/>
    <col min="11265" max="11265" width="4.5703125" style="1" customWidth="1"/>
    <col min="11266" max="11266" width="6.42578125" style="1" customWidth="1"/>
    <col min="11267" max="11267" width="26.140625" style="1" customWidth="1"/>
    <col min="11268" max="11268" width="12.42578125" style="1" customWidth="1"/>
    <col min="11269" max="11269" width="10.5703125" style="1" customWidth="1"/>
    <col min="11270" max="11270" width="13.5703125" style="1" customWidth="1"/>
    <col min="11271" max="11271" width="10.140625" style="1" customWidth="1"/>
    <col min="11272" max="11272" width="9.140625" style="1" customWidth="1"/>
    <col min="11273" max="11520" width="8.85546875" style="1"/>
    <col min="11521" max="11521" width="4.5703125" style="1" customWidth="1"/>
    <col min="11522" max="11522" width="6.42578125" style="1" customWidth="1"/>
    <col min="11523" max="11523" width="26.140625" style="1" customWidth="1"/>
    <col min="11524" max="11524" width="12.42578125" style="1" customWidth="1"/>
    <col min="11525" max="11525" width="10.5703125" style="1" customWidth="1"/>
    <col min="11526" max="11526" width="13.5703125" style="1" customWidth="1"/>
    <col min="11527" max="11527" width="10.140625" style="1" customWidth="1"/>
    <col min="11528" max="11528" width="9.140625" style="1" customWidth="1"/>
    <col min="11529" max="11776" width="8.85546875" style="1"/>
    <col min="11777" max="11777" width="4.5703125" style="1" customWidth="1"/>
    <col min="11778" max="11778" width="6.42578125" style="1" customWidth="1"/>
    <col min="11779" max="11779" width="26.140625" style="1" customWidth="1"/>
    <col min="11780" max="11780" width="12.42578125" style="1" customWidth="1"/>
    <col min="11781" max="11781" width="10.5703125" style="1" customWidth="1"/>
    <col min="11782" max="11782" width="13.5703125" style="1" customWidth="1"/>
    <col min="11783" max="11783" width="10.140625" style="1" customWidth="1"/>
    <col min="11784" max="11784" width="9.140625" style="1" customWidth="1"/>
    <col min="11785" max="12032" width="8.85546875" style="1"/>
    <col min="12033" max="12033" width="4.5703125" style="1" customWidth="1"/>
    <col min="12034" max="12034" width="6.42578125" style="1" customWidth="1"/>
    <col min="12035" max="12035" width="26.140625" style="1" customWidth="1"/>
    <col min="12036" max="12036" width="12.42578125" style="1" customWidth="1"/>
    <col min="12037" max="12037" width="10.5703125" style="1" customWidth="1"/>
    <col min="12038" max="12038" width="13.5703125" style="1" customWidth="1"/>
    <col min="12039" max="12039" width="10.140625" style="1" customWidth="1"/>
    <col min="12040" max="12040" width="9.140625" style="1" customWidth="1"/>
    <col min="12041" max="12288" width="8.85546875" style="1"/>
    <col min="12289" max="12289" width="4.5703125" style="1" customWidth="1"/>
    <col min="12290" max="12290" width="6.42578125" style="1" customWidth="1"/>
    <col min="12291" max="12291" width="26.140625" style="1" customWidth="1"/>
    <col min="12292" max="12292" width="12.42578125" style="1" customWidth="1"/>
    <col min="12293" max="12293" width="10.5703125" style="1" customWidth="1"/>
    <col min="12294" max="12294" width="13.5703125" style="1" customWidth="1"/>
    <col min="12295" max="12295" width="10.140625" style="1" customWidth="1"/>
    <col min="12296" max="12296" width="9.140625" style="1" customWidth="1"/>
    <col min="12297" max="12544" width="8.85546875" style="1"/>
    <col min="12545" max="12545" width="4.5703125" style="1" customWidth="1"/>
    <col min="12546" max="12546" width="6.42578125" style="1" customWidth="1"/>
    <col min="12547" max="12547" width="26.140625" style="1" customWidth="1"/>
    <col min="12548" max="12548" width="12.42578125" style="1" customWidth="1"/>
    <col min="12549" max="12549" width="10.5703125" style="1" customWidth="1"/>
    <col min="12550" max="12550" width="13.5703125" style="1" customWidth="1"/>
    <col min="12551" max="12551" width="10.140625" style="1" customWidth="1"/>
    <col min="12552" max="12552" width="9.140625" style="1" customWidth="1"/>
    <col min="12553" max="12800" width="8.85546875" style="1"/>
    <col min="12801" max="12801" width="4.5703125" style="1" customWidth="1"/>
    <col min="12802" max="12802" width="6.42578125" style="1" customWidth="1"/>
    <col min="12803" max="12803" width="26.140625" style="1" customWidth="1"/>
    <col min="12804" max="12804" width="12.42578125" style="1" customWidth="1"/>
    <col min="12805" max="12805" width="10.5703125" style="1" customWidth="1"/>
    <col min="12806" max="12806" width="13.5703125" style="1" customWidth="1"/>
    <col min="12807" max="12807" width="10.140625" style="1" customWidth="1"/>
    <col min="12808" max="12808" width="9.140625" style="1" customWidth="1"/>
    <col min="12809" max="13056" width="8.85546875" style="1"/>
    <col min="13057" max="13057" width="4.5703125" style="1" customWidth="1"/>
    <col min="13058" max="13058" width="6.42578125" style="1" customWidth="1"/>
    <col min="13059" max="13059" width="26.140625" style="1" customWidth="1"/>
    <col min="13060" max="13060" width="12.42578125" style="1" customWidth="1"/>
    <col min="13061" max="13061" width="10.5703125" style="1" customWidth="1"/>
    <col min="13062" max="13062" width="13.5703125" style="1" customWidth="1"/>
    <col min="13063" max="13063" width="10.140625" style="1" customWidth="1"/>
    <col min="13064" max="13064" width="9.140625" style="1" customWidth="1"/>
    <col min="13065" max="13312" width="8.85546875" style="1"/>
    <col min="13313" max="13313" width="4.5703125" style="1" customWidth="1"/>
    <col min="13314" max="13314" width="6.42578125" style="1" customWidth="1"/>
    <col min="13315" max="13315" width="26.140625" style="1" customWidth="1"/>
    <col min="13316" max="13316" width="12.42578125" style="1" customWidth="1"/>
    <col min="13317" max="13317" width="10.5703125" style="1" customWidth="1"/>
    <col min="13318" max="13318" width="13.5703125" style="1" customWidth="1"/>
    <col min="13319" max="13319" width="10.140625" style="1" customWidth="1"/>
    <col min="13320" max="13320" width="9.140625" style="1" customWidth="1"/>
    <col min="13321" max="13568" width="8.85546875" style="1"/>
    <col min="13569" max="13569" width="4.5703125" style="1" customWidth="1"/>
    <col min="13570" max="13570" width="6.42578125" style="1" customWidth="1"/>
    <col min="13571" max="13571" width="26.140625" style="1" customWidth="1"/>
    <col min="13572" max="13572" width="12.42578125" style="1" customWidth="1"/>
    <col min="13573" max="13573" width="10.5703125" style="1" customWidth="1"/>
    <col min="13574" max="13574" width="13.5703125" style="1" customWidth="1"/>
    <col min="13575" max="13575" width="10.140625" style="1" customWidth="1"/>
    <col min="13576" max="13576" width="9.140625" style="1" customWidth="1"/>
    <col min="13577" max="13824" width="8.85546875" style="1"/>
    <col min="13825" max="13825" width="4.5703125" style="1" customWidth="1"/>
    <col min="13826" max="13826" width="6.42578125" style="1" customWidth="1"/>
    <col min="13827" max="13827" width="26.140625" style="1" customWidth="1"/>
    <col min="13828" max="13828" width="12.42578125" style="1" customWidth="1"/>
    <col min="13829" max="13829" width="10.5703125" style="1" customWidth="1"/>
    <col min="13830" max="13830" width="13.5703125" style="1" customWidth="1"/>
    <col min="13831" max="13831" width="10.140625" style="1" customWidth="1"/>
    <col min="13832" max="13832" width="9.140625" style="1" customWidth="1"/>
    <col min="13833" max="14080" width="8.85546875" style="1"/>
    <col min="14081" max="14081" width="4.5703125" style="1" customWidth="1"/>
    <col min="14082" max="14082" width="6.42578125" style="1" customWidth="1"/>
    <col min="14083" max="14083" width="26.140625" style="1" customWidth="1"/>
    <col min="14084" max="14084" width="12.42578125" style="1" customWidth="1"/>
    <col min="14085" max="14085" width="10.5703125" style="1" customWidth="1"/>
    <col min="14086" max="14086" width="13.5703125" style="1" customWidth="1"/>
    <col min="14087" max="14087" width="10.140625" style="1" customWidth="1"/>
    <col min="14088" max="14088" width="9.140625" style="1" customWidth="1"/>
    <col min="14089" max="14336" width="8.85546875" style="1"/>
    <col min="14337" max="14337" width="4.5703125" style="1" customWidth="1"/>
    <col min="14338" max="14338" width="6.42578125" style="1" customWidth="1"/>
    <col min="14339" max="14339" width="26.140625" style="1" customWidth="1"/>
    <col min="14340" max="14340" width="12.42578125" style="1" customWidth="1"/>
    <col min="14341" max="14341" width="10.5703125" style="1" customWidth="1"/>
    <col min="14342" max="14342" width="13.5703125" style="1" customWidth="1"/>
    <col min="14343" max="14343" width="10.140625" style="1" customWidth="1"/>
    <col min="14344" max="14344" width="9.140625" style="1" customWidth="1"/>
    <col min="14345" max="14592" width="8.85546875" style="1"/>
    <col min="14593" max="14593" width="4.5703125" style="1" customWidth="1"/>
    <col min="14594" max="14594" width="6.42578125" style="1" customWidth="1"/>
    <col min="14595" max="14595" width="26.140625" style="1" customWidth="1"/>
    <col min="14596" max="14596" width="12.42578125" style="1" customWidth="1"/>
    <col min="14597" max="14597" width="10.5703125" style="1" customWidth="1"/>
    <col min="14598" max="14598" width="13.5703125" style="1" customWidth="1"/>
    <col min="14599" max="14599" width="10.140625" style="1" customWidth="1"/>
    <col min="14600" max="14600" width="9.140625" style="1" customWidth="1"/>
    <col min="14601" max="14848" width="8.85546875" style="1"/>
    <col min="14849" max="14849" width="4.5703125" style="1" customWidth="1"/>
    <col min="14850" max="14850" width="6.42578125" style="1" customWidth="1"/>
    <col min="14851" max="14851" width="26.140625" style="1" customWidth="1"/>
    <col min="14852" max="14852" width="12.42578125" style="1" customWidth="1"/>
    <col min="14853" max="14853" width="10.5703125" style="1" customWidth="1"/>
    <col min="14854" max="14854" width="13.5703125" style="1" customWidth="1"/>
    <col min="14855" max="14855" width="10.140625" style="1" customWidth="1"/>
    <col min="14856" max="14856" width="9.140625" style="1" customWidth="1"/>
    <col min="14857" max="15104" width="8.85546875" style="1"/>
    <col min="15105" max="15105" width="4.5703125" style="1" customWidth="1"/>
    <col min="15106" max="15106" width="6.42578125" style="1" customWidth="1"/>
    <col min="15107" max="15107" width="26.140625" style="1" customWidth="1"/>
    <col min="15108" max="15108" width="12.42578125" style="1" customWidth="1"/>
    <col min="15109" max="15109" width="10.5703125" style="1" customWidth="1"/>
    <col min="15110" max="15110" width="13.5703125" style="1" customWidth="1"/>
    <col min="15111" max="15111" width="10.140625" style="1" customWidth="1"/>
    <col min="15112" max="15112" width="9.140625" style="1" customWidth="1"/>
    <col min="15113" max="15360" width="8.85546875" style="1"/>
    <col min="15361" max="15361" width="4.5703125" style="1" customWidth="1"/>
    <col min="15362" max="15362" width="6.42578125" style="1" customWidth="1"/>
    <col min="15363" max="15363" width="26.140625" style="1" customWidth="1"/>
    <col min="15364" max="15364" width="12.42578125" style="1" customWidth="1"/>
    <col min="15365" max="15365" width="10.5703125" style="1" customWidth="1"/>
    <col min="15366" max="15366" width="13.5703125" style="1" customWidth="1"/>
    <col min="15367" max="15367" width="10.140625" style="1" customWidth="1"/>
    <col min="15368" max="15368" width="9.140625" style="1" customWidth="1"/>
    <col min="15369" max="15616" width="8.85546875" style="1"/>
    <col min="15617" max="15617" width="4.5703125" style="1" customWidth="1"/>
    <col min="15618" max="15618" width="6.42578125" style="1" customWidth="1"/>
    <col min="15619" max="15619" width="26.140625" style="1" customWidth="1"/>
    <col min="15620" max="15620" width="12.42578125" style="1" customWidth="1"/>
    <col min="15621" max="15621" width="10.5703125" style="1" customWidth="1"/>
    <col min="15622" max="15622" width="13.5703125" style="1" customWidth="1"/>
    <col min="15623" max="15623" width="10.140625" style="1" customWidth="1"/>
    <col min="15624" max="15624" width="9.140625" style="1" customWidth="1"/>
    <col min="15625" max="15872" width="8.85546875" style="1"/>
    <col min="15873" max="15873" width="4.5703125" style="1" customWidth="1"/>
    <col min="15874" max="15874" width="6.42578125" style="1" customWidth="1"/>
    <col min="15875" max="15875" width="26.140625" style="1" customWidth="1"/>
    <col min="15876" max="15876" width="12.42578125" style="1" customWidth="1"/>
    <col min="15877" max="15877" width="10.5703125" style="1" customWidth="1"/>
    <col min="15878" max="15878" width="13.5703125" style="1" customWidth="1"/>
    <col min="15879" max="15879" width="10.140625" style="1" customWidth="1"/>
    <col min="15880" max="15880" width="9.140625" style="1" customWidth="1"/>
    <col min="15881" max="16128" width="8.85546875" style="1"/>
    <col min="16129" max="16129" width="4.5703125" style="1" customWidth="1"/>
    <col min="16130" max="16130" width="6.42578125" style="1" customWidth="1"/>
    <col min="16131" max="16131" width="26.140625" style="1" customWidth="1"/>
    <col min="16132" max="16132" width="12.42578125" style="1" customWidth="1"/>
    <col min="16133" max="16133" width="10.5703125" style="1" customWidth="1"/>
    <col min="16134" max="16134" width="13.5703125" style="1" customWidth="1"/>
    <col min="16135" max="16135" width="10.140625" style="1" customWidth="1"/>
    <col min="16136" max="16136" width="9.140625" style="1" customWidth="1"/>
    <col min="16137" max="16384" width="8.85546875" style="1"/>
  </cols>
  <sheetData>
    <row r="1" spans="1:8">
      <c r="A1" s="219" t="s">
        <v>14</v>
      </c>
      <c r="B1" s="219"/>
      <c r="C1" s="219"/>
      <c r="D1" s="219"/>
      <c r="E1" s="219"/>
      <c r="F1" s="219"/>
      <c r="G1" s="219"/>
      <c r="H1" s="219"/>
    </row>
    <row r="2" spans="1:8" ht="26.1" customHeight="1">
      <c r="A2" s="220" t="s">
        <v>7</v>
      </c>
      <c r="B2" s="212"/>
      <c r="C2" s="212"/>
      <c r="D2" s="212"/>
      <c r="E2" s="212"/>
      <c r="F2" s="212"/>
      <c r="G2" s="212"/>
      <c r="H2" s="212"/>
    </row>
    <row r="6" spans="1:8" s="2" customFormat="1" ht="27.6" customHeight="1">
      <c r="A6" s="209" t="str">
        <f>Koptāme!$A$11</f>
        <v>Objekta nosaukums: Slaucamo govju kūts jaunbūve īpašumā
"Vecsašava"</v>
      </c>
      <c r="B6" s="221"/>
      <c r="C6" s="221"/>
      <c r="D6" s="221"/>
      <c r="E6" s="221"/>
      <c r="F6" s="221"/>
    </row>
    <row r="7" spans="1:8" ht="26.45" customHeight="1">
      <c r="A7" s="209" t="str">
        <f>Koptāme!$A$12</f>
        <v>Objekta adrese: Īpašums "Vecsašava", Mālupes pagasts,
Alūksnes novads</v>
      </c>
      <c r="B7" s="221"/>
      <c r="C7" s="221"/>
      <c r="D7" s="221"/>
      <c r="E7" s="221"/>
      <c r="F7" s="221"/>
    </row>
    <row r="8" spans="1:8">
      <c r="A8" s="209" t="str">
        <f>Koptāme!$A$13</f>
        <v>Pasūtītājs: Z/S "Jaunceriņi"</v>
      </c>
      <c r="B8" s="221"/>
      <c r="C8" s="221"/>
      <c r="D8" s="221"/>
      <c r="E8" s="221"/>
      <c r="F8" s="221"/>
    </row>
    <row r="9" spans="1:8">
      <c r="A9" s="3"/>
      <c r="B9" s="4"/>
      <c r="C9" s="4"/>
      <c r="D9" s="4"/>
      <c r="E9" s="4"/>
      <c r="F9" s="4"/>
    </row>
    <row r="10" spans="1:8">
      <c r="A10" s="4"/>
      <c r="B10" s="4"/>
      <c r="C10" s="4"/>
      <c r="D10" s="4"/>
      <c r="E10" s="4"/>
      <c r="F10" s="4"/>
    </row>
    <row r="11" spans="1:8">
      <c r="A11" s="4"/>
      <c r="B11" s="218" t="s">
        <v>15</v>
      </c>
      <c r="C11" s="218"/>
      <c r="D11" s="218"/>
      <c r="E11" s="5">
        <f>D30</f>
        <v>0</v>
      </c>
      <c r="F11" s="4"/>
    </row>
    <row r="12" spans="1:8">
      <c r="A12" s="4"/>
      <c r="B12" s="218" t="s">
        <v>16</v>
      </c>
      <c r="C12" s="218"/>
      <c r="D12" s="218"/>
      <c r="E12" s="5">
        <f>H26</f>
        <v>0</v>
      </c>
      <c r="F12" s="4"/>
    </row>
    <row r="14" spans="1:8" s="6" customFormat="1">
      <c r="A14" s="216" t="s">
        <v>17</v>
      </c>
      <c r="B14" s="216" t="s">
        <v>18</v>
      </c>
      <c r="C14" s="216" t="s">
        <v>19</v>
      </c>
      <c r="D14" s="216" t="s">
        <v>20</v>
      </c>
      <c r="E14" s="215" t="s">
        <v>21</v>
      </c>
      <c r="F14" s="215"/>
      <c r="G14" s="215"/>
      <c r="H14" s="216" t="s">
        <v>22</v>
      </c>
    </row>
    <row r="15" spans="1:8" s="6" customFormat="1" ht="39.75" customHeight="1">
      <c r="A15" s="215"/>
      <c r="B15" s="216"/>
      <c r="C15" s="216"/>
      <c r="D15" s="216"/>
      <c r="E15" s="194" t="s">
        <v>23</v>
      </c>
      <c r="F15" s="194" t="s">
        <v>24</v>
      </c>
      <c r="G15" s="194" t="s">
        <v>25</v>
      </c>
      <c r="H15" s="216"/>
    </row>
    <row r="16" spans="1:8" ht="12.95" customHeight="1">
      <c r="A16" s="7"/>
      <c r="B16" s="7"/>
      <c r="C16" s="33"/>
      <c r="D16" s="33"/>
      <c r="E16" s="7"/>
      <c r="F16" s="7"/>
      <c r="G16" s="7"/>
      <c r="H16" s="7"/>
    </row>
    <row r="17" spans="1:9">
      <c r="A17" s="7">
        <v>1</v>
      </c>
      <c r="B17" s="8" t="s">
        <v>26</v>
      </c>
      <c r="C17" s="138" t="s">
        <v>27</v>
      </c>
      <c r="D17" s="9">
        <f t="shared" ref="D17:D23" si="0">SUM(E17:G17)</f>
        <v>0</v>
      </c>
      <c r="E17" s="9">
        <f>'1-1.DOP'!M36</f>
        <v>0</v>
      </c>
      <c r="F17" s="9">
        <f>'1-1.DOP'!N36</f>
        <v>0</v>
      </c>
      <c r="G17" s="9">
        <f>'1-1.DOP'!O36</f>
        <v>0</v>
      </c>
      <c r="H17" s="9">
        <f>'1-1.DOP'!L36</f>
        <v>0</v>
      </c>
      <c r="I17" s="31"/>
    </row>
    <row r="18" spans="1:9">
      <c r="A18" s="7">
        <f>A17+1</f>
        <v>2</v>
      </c>
      <c r="B18" s="8" t="s">
        <v>28</v>
      </c>
      <c r="C18" s="138" t="s">
        <v>29</v>
      </c>
      <c r="D18" s="9">
        <f t="shared" si="0"/>
        <v>0</v>
      </c>
      <c r="E18" s="9">
        <f>'1-2.ZD'!M28</f>
        <v>0</v>
      </c>
      <c r="F18" s="9">
        <f>'1-2.ZD'!N28</f>
        <v>0</v>
      </c>
      <c r="G18" s="9">
        <f>'1-2.ZD'!O28</f>
        <v>0</v>
      </c>
      <c r="H18" s="9">
        <f>'1-2.ZD'!L28</f>
        <v>0</v>
      </c>
      <c r="I18" s="31"/>
    </row>
    <row r="19" spans="1:9" ht="23.1">
      <c r="A19" s="7">
        <f t="shared" ref="A19:A24" si="1">A18+1</f>
        <v>3</v>
      </c>
      <c r="B19" s="8" t="s">
        <v>30</v>
      </c>
      <c r="C19" s="139" t="s">
        <v>31</v>
      </c>
      <c r="D19" s="9">
        <f t="shared" si="0"/>
        <v>0</v>
      </c>
      <c r="E19" s="9">
        <f>'1-3.Govju_kūts'!N257</f>
        <v>0</v>
      </c>
      <c r="F19" s="9">
        <f>'1-3.Govju_kūts'!O257</f>
        <v>0</v>
      </c>
      <c r="G19" s="9">
        <f>'1-3.Govju_kūts'!P257</f>
        <v>0</v>
      </c>
      <c r="H19" s="9">
        <f>'1-3.Govju_kūts'!M257</f>
        <v>0</v>
      </c>
      <c r="I19" s="31"/>
    </row>
    <row r="20" spans="1:9">
      <c r="A20" s="7">
        <f t="shared" si="1"/>
        <v>4</v>
      </c>
      <c r="B20" s="8" t="s">
        <v>32</v>
      </c>
      <c r="C20" s="138" t="s">
        <v>33</v>
      </c>
      <c r="D20" s="9">
        <f t="shared" si="0"/>
        <v>0</v>
      </c>
      <c r="E20" s="9">
        <f>'1-4.GP'!M51</f>
        <v>0</v>
      </c>
      <c r="F20" s="9">
        <f>'1-4.GP'!N51</f>
        <v>0</v>
      </c>
      <c r="G20" s="9">
        <f>'1-4.GP'!O51</f>
        <v>0</v>
      </c>
      <c r="H20" s="9">
        <f>'1-4.GP'!L51</f>
        <v>0</v>
      </c>
      <c r="I20" s="31"/>
    </row>
    <row r="21" spans="1:9">
      <c r="A21" s="7">
        <f t="shared" si="1"/>
        <v>5</v>
      </c>
      <c r="B21" s="8" t="s">
        <v>34</v>
      </c>
      <c r="C21" s="138" t="s">
        <v>35</v>
      </c>
      <c r="D21" s="9">
        <f t="shared" si="0"/>
        <v>0</v>
      </c>
      <c r="E21" s="9">
        <f>'1-5. EL'!M68</f>
        <v>0</v>
      </c>
      <c r="F21" s="9">
        <f>'1-5. EL'!N68</f>
        <v>0</v>
      </c>
      <c r="G21" s="9">
        <f>'1-5. EL'!O68</f>
        <v>0</v>
      </c>
      <c r="H21" s="9">
        <f>'1-5. EL'!L68</f>
        <v>0</v>
      </c>
      <c r="I21" s="31"/>
    </row>
    <row r="22" spans="1:9">
      <c r="A22" s="7">
        <f t="shared" si="1"/>
        <v>6</v>
      </c>
      <c r="B22" s="8" t="s">
        <v>36</v>
      </c>
      <c r="C22" s="138" t="s">
        <v>37</v>
      </c>
      <c r="D22" s="9">
        <f t="shared" si="0"/>
        <v>0</v>
      </c>
      <c r="E22" s="9">
        <f>'1-6. ELT'!M52</f>
        <v>0</v>
      </c>
      <c r="F22" s="9">
        <f>'1-6. ELT'!N52</f>
        <v>0</v>
      </c>
      <c r="G22" s="9">
        <f>'1-6. ELT'!O52</f>
        <v>0</v>
      </c>
      <c r="H22" s="9">
        <f>'1-6. ELT'!L52</f>
        <v>0</v>
      </c>
      <c r="I22" s="31"/>
    </row>
    <row r="23" spans="1:9">
      <c r="A23" s="7">
        <f t="shared" si="1"/>
        <v>7</v>
      </c>
      <c r="B23" s="8" t="s">
        <v>38</v>
      </c>
      <c r="C23" s="138" t="s">
        <v>39</v>
      </c>
      <c r="D23" s="9">
        <f t="shared" si="0"/>
        <v>0</v>
      </c>
      <c r="E23" s="9">
        <f>'1-7. UK'!M76</f>
        <v>0</v>
      </c>
      <c r="F23" s="9">
        <f>'1-7. UK'!N76</f>
        <v>0</v>
      </c>
      <c r="G23" s="9">
        <f>'1-7. UK'!O76</f>
        <v>0</v>
      </c>
      <c r="H23" s="9">
        <f>'1-7. UK'!L76</f>
        <v>0</v>
      </c>
      <c r="I23" s="31"/>
    </row>
    <row r="24" spans="1:9">
      <c r="A24" s="7">
        <f t="shared" si="1"/>
        <v>8</v>
      </c>
      <c r="B24" s="8" t="s">
        <v>40</v>
      </c>
      <c r="C24" s="138" t="s">
        <v>41</v>
      </c>
      <c r="D24" s="9">
        <f t="shared" ref="D24" si="2">SUM(E24:G24)</f>
        <v>0</v>
      </c>
      <c r="E24" s="9">
        <f>'1-7. UK'!M77</f>
        <v>0</v>
      </c>
      <c r="F24" s="9">
        <f>'1-7. UK'!N77</f>
        <v>0</v>
      </c>
      <c r="G24" s="9">
        <f>'1-7. UK'!O77</f>
        <v>0</v>
      </c>
      <c r="H24" s="9">
        <f>'1-7. UK'!L77</f>
        <v>0</v>
      </c>
      <c r="I24" s="31"/>
    </row>
    <row r="25" spans="1:9">
      <c r="A25" s="7"/>
      <c r="B25" s="8"/>
      <c r="C25" s="34"/>
      <c r="D25" s="191"/>
      <c r="E25" s="9"/>
      <c r="F25" s="9"/>
      <c r="G25" s="9"/>
      <c r="H25" s="9"/>
      <c r="I25" s="31"/>
    </row>
    <row r="26" spans="1:9" s="6" customFormat="1">
      <c r="A26" s="10"/>
      <c r="B26" s="10"/>
      <c r="C26" s="11" t="s">
        <v>42</v>
      </c>
      <c r="D26" s="12">
        <f>SUM(D16:D25)</f>
        <v>0</v>
      </c>
      <c r="E26" s="12">
        <f>SUM(E16:E25)</f>
        <v>0</v>
      </c>
      <c r="F26" s="12">
        <f>SUM(F16:F25)</f>
        <v>0</v>
      </c>
      <c r="G26" s="12">
        <f>SUM(G16:G25)</f>
        <v>0</v>
      </c>
      <c r="H26" s="12">
        <f>SUM(H16:H25)</f>
        <v>0</v>
      </c>
      <c r="I26" s="31"/>
    </row>
    <row r="27" spans="1:9" s="6" customFormat="1">
      <c r="A27" s="10"/>
      <c r="B27" s="10"/>
      <c r="C27" s="13" t="s">
        <v>43</v>
      </c>
      <c r="D27" s="14">
        <f>ROUND(D26*0,2)</f>
        <v>0</v>
      </c>
      <c r="E27" s="15"/>
      <c r="F27" s="15"/>
      <c r="G27" s="15"/>
      <c r="H27" s="15"/>
      <c r="I27" s="31"/>
    </row>
    <row r="28" spans="1:9" s="6" customFormat="1">
      <c r="A28" s="10"/>
      <c r="B28" s="10"/>
      <c r="C28" s="16" t="s">
        <v>44</v>
      </c>
      <c r="D28" s="14">
        <f>ROUND(D27*0,2)</f>
        <v>0</v>
      </c>
      <c r="E28" s="15"/>
      <c r="F28" s="15"/>
      <c r="G28" s="15"/>
      <c r="H28" s="15"/>
      <c r="I28" s="31"/>
    </row>
    <row r="29" spans="1:9" s="6" customFormat="1">
      <c r="A29" s="10"/>
      <c r="B29" s="10"/>
      <c r="C29" s="13" t="s">
        <v>45</v>
      </c>
      <c r="D29" s="14">
        <f>ROUND(D26*0,2)</f>
        <v>0</v>
      </c>
      <c r="E29" s="15"/>
      <c r="F29" s="15"/>
      <c r="G29" s="15"/>
      <c r="H29" s="15"/>
      <c r="I29" s="31"/>
    </row>
    <row r="30" spans="1:9" s="6" customFormat="1">
      <c r="A30" s="10"/>
      <c r="B30" s="10"/>
      <c r="C30" s="11" t="s">
        <v>8</v>
      </c>
      <c r="D30" s="17">
        <f>D26+D27+D29</f>
        <v>0</v>
      </c>
      <c r="E30" s="18"/>
      <c r="F30" s="15"/>
      <c r="G30" s="15"/>
      <c r="H30" s="15"/>
      <c r="I30" s="31"/>
    </row>
    <row r="31" spans="1:9" s="6" customFormat="1">
      <c r="C31" s="19"/>
      <c r="D31" s="20"/>
      <c r="E31" s="18"/>
      <c r="F31" s="15"/>
      <c r="G31" s="15"/>
      <c r="H31" s="15"/>
    </row>
    <row r="32" spans="1:9" s="6" customFormat="1" ht="39.6" customHeight="1">
      <c r="C32" s="217" t="s">
        <v>46</v>
      </c>
      <c r="D32" s="217"/>
      <c r="E32" s="217"/>
      <c r="F32" s="217"/>
      <c r="G32" s="217"/>
      <c r="H32" s="217"/>
    </row>
    <row r="33" spans="1:8" s="6" customFormat="1"/>
    <row r="34" spans="1:8" s="6" customFormat="1"/>
    <row r="35" spans="1:8" s="6" customFormat="1">
      <c r="C35" s="21" t="s">
        <v>9</v>
      </c>
      <c r="D35" s="214"/>
      <c r="E35" s="214"/>
      <c r="F35" s="214"/>
      <c r="G35" s="214"/>
      <c r="H35" s="214"/>
    </row>
    <row r="36" spans="1:8" s="6" customFormat="1" ht="11.45" customHeight="1">
      <c r="C36" s="208" t="s">
        <v>10</v>
      </c>
      <c r="D36" s="208"/>
      <c r="E36" s="208"/>
      <c r="F36" s="208"/>
      <c r="G36" s="208"/>
      <c r="H36" s="208"/>
    </row>
    <row r="37" spans="1:8" s="6" customFormat="1">
      <c r="C37" s="22"/>
      <c r="D37" s="22"/>
      <c r="E37" s="23"/>
    </row>
    <row r="38" spans="1:8">
      <c r="C38" s="1" t="str">
        <f>Koptāme!$A$28</f>
        <v>Tāme sastādīta: 2025.gada 20. oktobrī</v>
      </c>
    </row>
    <row r="39" spans="1:8">
      <c r="C39" s="22"/>
      <c r="D39" s="22"/>
      <c r="E39" s="22"/>
    </row>
    <row r="40" spans="1:8">
      <c r="C40" s="23"/>
      <c r="D40" s="23"/>
      <c r="E40" s="22"/>
    </row>
    <row r="41" spans="1:8">
      <c r="C41" s="21" t="s">
        <v>47</v>
      </c>
      <c r="D41" s="214"/>
      <c r="E41" s="214"/>
      <c r="F41" s="214"/>
      <c r="G41" s="214"/>
      <c r="H41" s="214"/>
    </row>
    <row r="42" spans="1:8" ht="11.45" customHeight="1">
      <c r="C42" s="208" t="s">
        <v>10</v>
      </c>
      <c r="D42" s="208"/>
      <c r="E42" s="208"/>
      <c r="F42" s="208"/>
      <c r="G42" s="208"/>
      <c r="H42" s="208"/>
    </row>
    <row r="43" spans="1:8">
      <c r="C43" s="22" t="s">
        <v>11</v>
      </c>
    </row>
    <row r="46" spans="1:8">
      <c r="A46" s="212" t="s">
        <v>13</v>
      </c>
      <c r="B46" s="212"/>
      <c r="C46" s="212"/>
      <c r="D46" s="212"/>
      <c r="E46" s="212"/>
      <c r="F46" s="212"/>
      <c r="G46" s="212"/>
      <c r="H46" s="212"/>
    </row>
  </sheetData>
  <mergeCells count="19">
    <mergeCell ref="A1:H1"/>
    <mergeCell ref="A2:H2"/>
    <mergeCell ref="A6:F6"/>
    <mergeCell ref="A7:F7"/>
    <mergeCell ref="A8:F8"/>
    <mergeCell ref="B11:D11"/>
    <mergeCell ref="B12:D12"/>
    <mergeCell ref="A14:A15"/>
    <mergeCell ref="B14:B15"/>
    <mergeCell ref="C14:C15"/>
    <mergeCell ref="D14:D15"/>
    <mergeCell ref="D41:H41"/>
    <mergeCell ref="A46:H46"/>
    <mergeCell ref="E14:G14"/>
    <mergeCell ref="H14:H15"/>
    <mergeCell ref="C32:H32"/>
    <mergeCell ref="D35:H35"/>
    <mergeCell ref="C36:H36"/>
    <mergeCell ref="C42:H42"/>
  </mergeCells>
  <phoneticPr fontId="5" type="noConversion"/>
  <printOptions horizontalCentered="1"/>
  <pageMargins left="1.1811023622047245" right="0.39370078740157483" top="0.78740157480314965" bottom="0.3937007874015748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0"/>
  <sheetViews>
    <sheetView showZeros="0" zoomScale="120" zoomScaleNormal="120" zoomScaleSheetLayoutView="85" workbookViewId="0">
      <selection activeCell="A6" sqref="A6:F6"/>
    </sheetView>
  </sheetViews>
  <sheetFormatPr defaultColWidth="8.85546875" defaultRowHeight="11.45"/>
  <cols>
    <col min="1" max="2" width="5.85546875" style="58" customWidth="1"/>
    <col min="3" max="3" width="40.85546875" style="32" customWidth="1"/>
    <col min="4" max="4" width="8.85546875" style="32" customWidth="1"/>
    <col min="5" max="5" width="8.85546875" style="67" customWidth="1"/>
    <col min="6" max="11" width="8.85546875" style="32" customWidth="1"/>
    <col min="12" max="16" width="11.85546875" style="32" customWidth="1"/>
    <col min="17" max="17" width="8.85546875" style="32"/>
    <col min="18" max="18" width="16.5703125" style="32" customWidth="1"/>
    <col min="19" max="16384" width="8.85546875" style="32"/>
  </cols>
  <sheetData>
    <row r="1" spans="1:16">
      <c r="A1" s="210" t="s">
        <v>48</v>
      </c>
      <c r="B1" s="210"/>
      <c r="C1" s="210"/>
      <c r="D1" s="210"/>
      <c r="E1" s="210"/>
      <c r="F1" s="210"/>
      <c r="G1" s="210"/>
      <c r="H1" s="210"/>
      <c r="I1" s="210"/>
      <c r="J1" s="210"/>
      <c r="K1" s="210"/>
      <c r="L1" s="210"/>
      <c r="M1" s="210"/>
      <c r="N1" s="210"/>
      <c r="O1" s="210"/>
      <c r="P1" s="210"/>
    </row>
    <row r="2" spans="1:16">
      <c r="A2" s="210" t="s">
        <v>27</v>
      </c>
      <c r="B2" s="210"/>
      <c r="C2" s="210"/>
      <c r="D2" s="210"/>
      <c r="E2" s="210"/>
      <c r="F2" s="210"/>
      <c r="G2" s="210"/>
      <c r="H2" s="210"/>
      <c r="I2" s="210"/>
      <c r="J2" s="210"/>
      <c r="K2" s="210"/>
      <c r="L2" s="210"/>
      <c r="M2" s="210"/>
      <c r="N2" s="210"/>
      <c r="O2" s="210"/>
      <c r="P2" s="210"/>
    </row>
    <row r="3" spans="1:16">
      <c r="A3" s="203" t="s">
        <v>49</v>
      </c>
      <c r="B3" s="203"/>
      <c r="C3" s="203"/>
      <c r="D3" s="203"/>
      <c r="E3" s="203"/>
      <c r="F3" s="203"/>
      <c r="G3" s="203"/>
      <c r="H3" s="203"/>
      <c r="I3" s="203"/>
      <c r="J3" s="203"/>
      <c r="K3" s="203"/>
      <c r="L3" s="203"/>
      <c r="M3" s="203"/>
      <c r="N3" s="203"/>
      <c r="O3" s="203"/>
      <c r="P3" s="203"/>
    </row>
    <row r="4" spans="1:16">
      <c r="A4" s="59"/>
      <c r="B4" s="56"/>
      <c r="C4" s="56"/>
      <c r="D4" s="57"/>
      <c r="E4" s="188"/>
      <c r="F4" s="192"/>
      <c r="G4" s="192"/>
      <c r="H4" s="4"/>
      <c r="I4" s="192"/>
      <c r="J4" s="192"/>
      <c r="K4" s="192"/>
      <c r="L4" s="192"/>
      <c r="M4" s="192"/>
      <c r="N4" s="192"/>
      <c r="O4" s="192"/>
    </row>
    <row r="5" spans="1:16" ht="24.6" customHeight="1">
      <c r="A5" s="209" t="str">
        <f>Koptāme!$A$11</f>
        <v>Objekta nosaukums: Slaucamo govju kūts jaunbūve īpašumā
"Vecsašava"</v>
      </c>
      <c r="B5" s="221"/>
      <c r="C5" s="221"/>
      <c r="D5" s="221"/>
      <c r="E5" s="221"/>
      <c r="F5" s="221"/>
      <c r="G5" s="62"/>
      <c r="H5" s="62"/>
      <c r="I5" s="62"/>
      <c r="J5" s="62"/>
      <c r="K5" s="62"/>
      <c r="L5" s="62"/>
      <c r="M5" s="62"/>
      <c r="N5" s="62"/>
    </row>
    <row r="6" spans="1:16" ht="23.1" customHeight="1">
      <c r="A6" s="209" t="str">
        <f>Koptāme!$A$12</f>
        <v>Objekta adrese: Īpašums "Vecsašava", Mālupes pagasts,
Alūksnes novads</v>
      </c>
      <c r="B6" s="221"/>
      <c r="C6" s="221"/>
      <c r="D6" s="221"/>
      <c r="E6" s="221"/>
      <c r="F6" s="221"/>
      <c r="G6" s="4"/>
      <c r="H6" s="192"/>
      <c r="I6" s="192"/>
      <c r="J6" s="192"/>
      <c r="K6" s="192"/>
      <c r="L6" s="192"/>
      <c r="M6" s="192"/>
      <c r="N6" s="192"/>
    </row>
    <row r="7" spans="1:16" ht="14.25" customHeight="1">
      <c r="A7" s="209" t="str">
        <f>Koptāme!$A$13</f>
        <v>Pasūtītājs: Z/S "Jaunceriņi"</v>
      </c>
      <c r="B7" s="221"/>
      <c r="C7" s="221"/>
      <c r="D7" s="221"/>
      <c r="E7" s="221"/>
      <c r="F7" s="221"/>
      <c r="G7" s="4"/>
      <c r="H7" s="192"/>
      <c r="I7" s="192"/>
      <c r="J7" s="192"/>
      <c r="K7" s="192"/>
      <c r="L7" s="192"/>
      <c r="M7" s="192"/>
      <c r="N7" s="192"/>
    </row>
    <row r="8" spans="1:16" ht="12">
      <c r="A8" s="57"/>
      <c r="B8" s="59"/>
      <c r="C8" s="57"/>
      <c r="D8" s="60"/>
      <c r="E8" s="66"/>
      <c r="F8" s="60"/>
      <c r="G8" s="60"/>
      <c r="H8" s="60"/>
      <c r="I8" s="60"/>
      <c r="J8" s="60"/>
      <c r="K8" s="60"/>
      <c r="L8" s="60"/>
      <c r="M8" s="60"/>
      <c r="N8" s="60"/>
      <c r="O8" s="63" t="s">
        <v>50</v>
      </c>
      <c r="P8" s="61">
        <f>P36</f>
        <v>0</v>
      </c>
    </row>
    <row r="9" spans="1:16" ht="12">
      <c r="A9" s="57"/>
      <c r="B9" s="59"/>
      <c r="C9" s="57"/>
      <c r="D9" s="60"/>
      <c r="E9" s="66"/>
      <c r="F9" s="60"/>
      <c r="G9" s="60"/>
      <c r="H9" s="60"/>
      <c r="I9" s="60"/>
      <c r="J9" s="60"/>
      <c r="K9" s="60"/>
      <c r="L9" s="60"/>
      <c r="M9" s="60"/>
      <c r="N9" s="107" t="str">
        <f>Koptāme!$A$28</f>
        <v>Tāme sastādīta: 2025.gada 20. oktobrī</v>
      </c>
      <c r="O9" s="69"/>
      <c r="P9" s="60"/>
    </row>
    <row r="11" spans="1:16" ht="12">
      <c r="A11" s="206" t="s">
        <v>51</v>
      </c>
      <c r="B11" s="207" t="s">
        <v>52</v>
      </c>
      <c r="C11" s="206" t="s">
        <v>53</v>
      </c>
      <c r="D11" s="206" t="s">
        <v>54</v>
      </c>
      <c r="E11" s="222" t="s">
        <v>55</v>
      </c>
      <c r="F11" s="204" t="s">
        <v>56</v>
      </c>
      <c r="G11" s="204"/>
      <c r="H11" s="204"/>
      <c r="I11" s="204"/>
      <c r="J11" s="204"/>
      <c r="K11" s="204"/>
      <c r="L11" s="204" t="s">
        <v>57</v>
      </c>
      <c r="M11" s="204"/>
      <c r="N11" s="204"/>
      <c r="O11" s="204"/>
      <c r="P11" s="204"/>
    </row>
    <row r="12" spans="1:16" ht="48">
      <c r="A12" s="206"/>
      <c r="B12" s="207"/>
      <c r="C12" s="206"/>
      <c r="D12" s="206"/>
      <c r="E12" s="222"/>
      <c r="F12" s="190" t="s">
        <v>58</v>
      </c>
      <c r="G12" s="190" t="s">
        <v>59</v>
      </c>
      <c r="H12" s="190" t="s">
        <v>60</v>
      </c>
      <c r="I12" s="190" t="s">
        <v>24</v>
      </c>
      <c r="J12" s="190" t="s">
        <v>61</v>
      </c>
      <c r="K12" s="190" t="s">
        <v>62</v>
      </c>
      <c r="L12" s="190" t="s">
        <v>63</v>
      </c>
      <c r="M12" s="190" t="s">
        <v>60</v>
      </c>
      <c r="N12" s="190" t="s">
        <v>24</v>
      </c>
      <c r="O12" s="190" t="s">
        <v>61</v>
      </c>
      <c r="P12" s="190" t="s">
        <v>64</v>
      </c>
    </row>
    <row r="13" spans="1:16" ht="12">
      <c r="A13" s="190">
        <v>1</v>
      </c>
      <c r="B13" s="190">
        <v>2</v>
      </c>
      <c r="C13" s="190">
        <v>3</v>
      </c>
      <c r="D13" s="190">
        <v>4</v>
      </c>
      <c r="E13" s="190">
        <v>5</v>
      </c>
      <c r="F13" s="190">
        <v>6</v>
      </c>
      <c r="G13" s="190">
        <v>7</v>
      </c>
      <c r="H13" s="190">
        <v>8</v>
      </c>
      <c r="I13" s="190">
        <v>9</v>
      </c>
      <c r="J13" s="190">
        <v>10</v>
      </c>
      <c r="K13" s="190">
        <v>11</v>
      </c>
      <c r="L13" s="190">
        <v>12</v>
      </c>
      <c r="M13" s="190">
        <v>13</v>
      </c>
      <c r="N13" s="190">
        <v>14</v>
      </c>
      <c r="O13" s="190">
        <v>15</v>
      </c>
      <c r="P13" s="190">
        <v>16</v>
      </c>
    </row>
    <row r="14" spans="1:16" ht="12">
      <c r="A14" s="39"/>
      <c r="B14" s="40"/>
      <c r="C14" s="41" t="s">
        <v>65</v>
      </c>
      <c r="D14" s="42"/>
      <c r="E14" s="68"/>
      <c r="F14" s="39"/>
      <c r="G14" s="39"/>
      <c r="H14" s="39"/>
      <c r="I14" s="39"/>
      <c r="J14" s="39"/>
      <c r="K14" s="39"/>
      <c r="L14" s="39"/>
      <c r="M14" s="39"/>
      <c r="N14" s="39"/>
      <c r="O14" s="39"/>
      <c r="P14" s="39"/>
    </row>
    <row r="15" spans="1:16">
      <c r="A15" s="40">
        <v>1</v>
      </c>
      <c r="B15" s="40" t="s">
        <v>66</v>
      </c>
      <c r="C15" s="37" t="s">
        <v>67</v>
      </c>
      <c r="D15" s="7" t="s">
        <v>68</v>
      </c>
      <c r="E15" s="44">
        <f>50</f>
        <v>50</v>
      </c>
      <c r="F15" s="36"/>
      <c r="G15" s="36"/>
      <c r="H15" s="36"/>
      <c r="I15" s="36"/>
      <c r="J15" s="36"/>
      <c r="K15" s="36"/>
      <c r="L15" s="36"/>
      <c r="M15" s="36"/>
      <c r="N15" s="36"/>
      <c r="O15" s="36"/>
      <c r="P15" s="36"/>
    </row>
    <row r="16" spans="1:16">
      <c r="A16" s="40">
        <f>A15+1</f>
        <v>2</v>
      </c>
      <c r="B16" s="40" t="s">
        <v>66</v>
      </c>
      <c r="C16" s="37" t="s">
        <v>69</v>
      </c>
      <c r="D16" s="7" t="s">
        <v>68</v>
      </c>
      <c r="E16" s="44">
        <f>E15</f>
        <v>50</v>
      </c>
      <c r="F16" s="36"/>
      <c r="G16" s="36"/>
      <c r="H16" s="36"/>
      <c r="I16" s="36"/>
      <c r="J16" s="36"/>
      <c r="K16" s="36"/>
      <c r="L16" s="36"/>
      <c r="M16" s="36"/>
      <c r="N16" s="36"/>
      <c r="O16" s="36"/>
      <c r="P16" s="36"/>
    </row>
    <row r="17" spans="1:16">
      <c r="A17" s="40">
        <f t="shared" ref="A17:A34" si="0">A16+1</f>
        <v>3</v>
      </c>
      <c r="B17" s="40" t="s">
        <v>66</v>
      </c>
      <c r="C17" s="37" t="s">
        <v>70</v>
      </c>
      <c r="D17" s="7" t="s">
        <v>71</v>
      </c>
      <c r="E17" s="44">
        <v>1</v>
      </c>
      <c r="F17" s="36"/>
      <c r="G17" s="36"/>
      <c r="H17" s="36"/>
      <c r="I17" s="36"/>
      <c r="J17" s="36"/>
      <c r="K17" s="36"/>
      <c r="L17" s="36"/>
      <c r="M17" s="36"/>
      <c r="N17" s="36"/>
      <c r="O17" s="36"/>
      <c r="P17" s="36"/>
    </row>
    <row r="18" spans="1:16">
      <c r="A18" s="40">
        <f t="shared" si="0"/>
        <v>4</v>
      </c>
      <c r="B18" s="40" t="s">
        <v>66</v>
      </c>
      <c r="C18" s="37" t="s">
        <v>72</v>
      </c>
      <c r="D18" s="7" t="s">
        <v>73</v>
      </c>
      <c r="E18" s="44">
        <v>6</v>
      </c>
      <c r="F18" s="36"/>
      <c r="G18" s="36"/>
      <c r="H18" s="36"/>
      <c r="I18" s="36"/>
      <c r="J18" s="36"/>
      <c r="K18" s="36"/>
      <c r="L18" s="36"/>
      <c r="M18" s="36"/>
      <c r="N18" s="36"/>
      <c r="O18" s="36"/>
      <c r="P18" s="36"/>
    </row>
    <row r="19" spans="1:16">
      <c r="A19" s="40">
        <f t="shared" si="0"/>
        <v>5</v>
      </c>
      <c r="B19" s="40" t="s">
        <v>66</v>
      </c>
      <c r="C19" s="37" t="s">
        <v>74</v>
      </c>
      <c r="D19" s="7" t="s">
        <v>71</v>
      </c>
      <c r="E19" s="44">
        <v>1</v>
      </c>
      <c r="F19" s="36"/>
      <c r="G19" s="36"/>
      <c r="H19" s="36"/>
      <c r="I19" s="36"/>
      <c r="J19" s="36"/>
      <c r="K19" s="36"/>
      <c r="L19" s="36"/>
      <c r="M19" s="36"/>
      <c r="N19" s="36"/>
      <c r="O19" s="36"/>
      <c r="P19" s="36"/>
    </row>
    <row r="20" spans="1:16">
      <c r="A20" s="40">
        <f t="shared" si="0"/>
        <v>6</v>
      </c>
      <c r="B20" s="40" t="s">
        <v>66</v>
      </c>
      <c r="C20" s="37" t="s">
        <v>75</v>
      </c>
      <c r="D20" s="7" t="s">
        <v>76</v>
      </c>
      <c r="E20" s="44">
        <v>1</v>
      </c>
      <c r="F20" s="36"/>
      <c r="G20" s="36"/>
      <c r="H20" s="36"/>
      <c r="I20" s="36"/>
      <c r="J20" s="36"/>
      <c r="K20" s="36"/>
      <c r="L20" s="36"/>
      <c r="M20" s="36"/>
      <c r="N20" s="36"/>
      <c r="O20" s="36"/>
      <c r="P20" s="36"/>
    </row>
    <row r="21" spans="1:16">
      <c r="A21" s="40">
        <f t="shared" si="0"/>
        <v>7</v>
      </c>
      <c r="B21" s="40" t="s">
        <v>66</v>
      </c>
      <c r="C21" s="37" t="s">
        <v>77</v>
      </c>
      <c r="D21" s="7" t="s">
        <v>76</v>
      </c>
      <c r="E21" s="44">
        <v>1</v>
      </c>
      <c r="F21" s="36"/>
      <c r="G21" s="36"/>
      <c r="H21" s="36"/>
      <c r="I21" s="36"/>
      <c r="J21" s="36"/>
      <c r="K21" s="36"/>
      <c r="L21" s="36"/>
      <c r="M21" s="36"/>
      <c r="N21" s="36"/>
      <c r="O21" s="36"/>
      <c r="P21" s="36"/>
    </row>
    <row r="22" spans="1:16" ht="23.1">
      <c r="A22" s="40">
        <f t="shared" si="0"/>
        <v>8</v>
      </c>
      <c r="B22" s="40" t="s">
        <v>66</v>
      </c>
      <c r="C22" s="37" t="s">
        <v>78</v>
      </c>
      <c r="D22" s="7" t="s">
        <v>73</v>
      </c>
      <c r="E22" s="44">
        <f>E18</f>
        <v>6</v>
      </c>
      <c r="F22" s="36"/>
      <c r="G22" s="36"/>
      <c r="H22" s="36"/>
      <c r="I22" s="36"/>
      <c r="J22" s="36"/>
      <c r="K22" s="36"/>
      <c r="L22" s="36"/>
      <c r="M22" s="36"/>
      <c r="N22" s="36"/>
      <c r="O22" s="36"/>
      <c r="P22" s="36"/>
    </row>
    <row r="23" spans="1:16" ht="23.1">
      <c r="A23" s="40">
        <f t="shared" si="0"/>
        <v>9</v>
      </c>
      <c r="B23" s="40" t="s">
        <v>66</v>
      </c>
      <c r="C23" s="37" t="s">
        <v>79</v>
      </c>
      <c r="D23" s="7" t="s">
        <v>73</v>
      </c>
      <c r="E23" s="44">
        <f>E18</f>
        <v>6</v>
      </c>
      <c r="F23" s="36"/>
      <c r="G23" s="36"/>
      <c r="H23" s="36"/>
      <c r="I23" s="36"/>
      <c r="J23" s="36"/>
      <c r="K23" s="36"/>
      <c r="L23" s="36"/>
      <c r="M23" s="36"/>
      <c r="N23" s="36"/>
      <c r="O23" s="36"/>
      <c r="P23" s="36"/>
    </row>
    <row r="24" spans="1:16" ht="34.5">
      <c r="A24" s="40">
        <f t="shared" si="0"/>
        <v>10</v>
      </c>
      <c r="B24" s="40" t="s">
        <v>66</v>
      </c>
      <c r="C24" s="37" t="s">
        <v>80</v>
      </c>
      <c r="D24" s="7" t="s">
        <v>73</v>
      </c>
      <c r="E24" s="44">
        <f>E22</f>
        <v>6</v>
      </c>
      <c r="F24" s="36"/>
      <c r="G24" s="36"/>
      <c r="H24" s="36"/>
      <c r="I24" s="36"/>
      <c r="J24" s="36"/>
      <c r="K24" s="36"/>
      <c r="L24" s="36"/>
      <c r="M24" s="36"/>
      <c r="N24" s="36"/>
      <c r="O24" s="36"/>
      <c r="P24" s="36"/>
    </row>
    <row r="25" spans="1:16" ht="23.1">
      <c r="A25" s="40">
        <f t="shared" si="0"/>
        <v>11</v>
      </c>
      <c r="B25" s="40" t="s">
        <v>66</v>
      </c>
      <c r="C25" s="37" t="s">
        <v>81</v>
      </c>
      <c r="D25" s="7" t="s">
        <v>73</v>
      </c>
      <c r="E25" s="44">
        <f>E22</f>
        <v>6</v>
      </c>
      <c r="F25" s="36"/>
      <c r="G25" s="36"/>
      <c r="H25" s="36"/>
      <c r="I25" s="36"/>
      <c r="J25" s="36"/>
      <c r="K25" s="36"/>
      <c r="L25" s="36"/>
      <c r="M25" s="36"/>
      <c r="N25" s="36"/>
      <c r="O25" s="36"/>
      <c r="P25" s="36"/>
    </row>
    <row r="26" spans="1:16" ht="23.1">
      <c r="A26" s="40">
        <f t="shared" si="0"/>
        <v>12</v>
      </c>
      <c r="B26" s="40" t="s">
        <v>66</v>
      </c>
      <c r="C26" s="37" t="s">
        <v>82</v>
      </c>
      <c r="D26" s="7" t="s">
        <v>73</v>
      </c>
      <c r="E26" s="44">
        <f>E22</f>
        <v>6</v>
      </c>
      <c r="F26" s="36"/>
      <c r="G26" s="36"/>
      <c r="H26" s="36"/>
      <c r="I26" s="36"/>
      <c r="J26" s="36"/>
      <c r="K26" s="36"/>
      <c r="L26" s="36"/>
      <c r="M26" s="36"/>
      <c r="N26" s="36"/>
      <c r="O26" s="36"/>
      <c r="P26" s="36"/>
    </row>
    <row r="27" spans="1:16" ht="23.1">
      <c r="A27" s="40">
        <f t="shared" si="0"/>
        <v>13</v>
      </c>
      <c r="B27" s="40" t="s">
        <v>66</v>
      </c>
      <c r="C27" s="37" t="s">
        <v>83</v>
      </c>
      <c r="D27" s="7" t="s">
        <v>73</v>
      </c>
      <c r="E27" s="44">
        <f>E22</f>
        <v>6</v>
      </c>
      <c r="F27" s="36"/>
      <c r="G27" s="36"/>
      <c r="H27" s="36"/>
      <c r="I27" s="36"/>
      <c r="J27" s="36"/>
      <c r="K27" s="36"/>
      <c r="L27" s="36"/>
      <c r="M27" s="36"/>
      <c r="N27" s="36"/>
      <c r="O27" s="36"/>
      <c r="P27" s="36"/>
    </row>
    <row r="28" spans="1:16">
      <c r="A28" s="40">
        <f t="shared" si="0"/>
        <v>14</v>
      </c>
      <c r="B28" s="40" t="s">
        <v>66</v>
      </c>
      <c r="C28" s="37" t="s">
        <v>84</v>
      </c>
      <c r="D28" s="7" t="s">
        <v>85</v>
      </c>
      <c r="E28" s="44">
        <v>1</v>
      </c>
      <c r="F28" s="36"/>
      <c r="G28" s="36"/>
      <c r="H28" s="36"/>
      <c r="I28" s="36"/>
      <c r="J28" s="36"/>
      <c r="K28" s="36"/>
      <c r="L28" s="36"/>
      <c r="M28" s="36"/>
      <c r="N28" s="36"/>
      <c r="O28" s="36"/>
      <c r="P28" s="36"/>
    </row>
    <row r="29" spans="1:16">
      <c r="A29" s="40">
        <f t="shared" si="0"/>
        <v>15</v>
      </c>
      <c r="B29" s="40" t="s">
        <v>66</v>
      </c>
      <c r="C29" s="37" t="s">
        <v>86</v>
      </c>
      <c r="D29" s="7" t="s">
        <v>71</v>
      </c>
      <c r="E29" s="44">
        <v>1</v>
      </c>
      <c r="F29" s="36"/>
      <c r="G29" s="36"/>
      <c r="H29" s="36"/>
      <c r="I29" s="36"/>
      <c r="J29" s="36"/>
      <c r="K29" s="36"/>
      <c r="L29" s="36"/>
      <c r="M29" s="36"/>
      <c r="N29" s="36"/>
      <c r="O29" s="36"/>
      <c r="P29" s="36"/>
    </row>
    <row r="30" spans="1:16">
      <c r="A30" s="40">
        <f t="shared" si="0"/>
        <v>16</v>
      </c>
      <c r="B30" s="40" t="s">
        <v>66</v>
      </c>
      <c r="C30" s="37" t="s">
        <v>87</v>
      </c>
      <c r="D30" s="7" t="s">
        <v>71</v>
      </c>
      <c r="E30" s="44">
        <v>1</v>
      </c>
      <c r="F30" s="36"/>
      <c r="G30" s="36"/>
      <c r="H30" s="36"/>
      <c r="I30" s="36"/>
      <c r="J30" s="36"/>
      <c r="K30" s="36"/>
      <c r="L30" s="36"/>
      <c r="M30" s="36"/>
      <c r="N30" s="36"/>
      <c r="O30" s="36"/>
      <c r="P30" s="36"/>
    </row>
    <row r="31" spans="1:16">
      <c r="A31" s="40">
        <f t="shared" si="0"/>
        <v>17</v>
      </c>
      <c r="B31" s="40" t="s">
        <v>66</v>
      </c>
      <c r="C31" s="37" t="s">
        <v>88</v>
      </c>
      <c r="D31" s="7" t="s">
        <v>73</v>
      </c>
      <c r="E31" s="44">
        <f>E22</f>
        <v>6</v>
      </c>
      <c r="F31" s="36"/>
      <c r="G31" s="36"/>
      <c r="H31" s="36"/>
      <c r="I31" s="36"/>
      <c r="J31" s="36"/>
      <c r="K31" s="36"/>
      <c r="L31" s="36"/>
      <c r="M31" s="36"/>
      <c r="N31" s="36"/>
      <c r="O31" s="36"/>
      <c r="P31" s="36"/>
    </row>
    <row r="32" spans="1:16">
      <c r="A32" s="40">
        <f t="shared" si="0"/>
        <v>18</v>
      </c>
      <c r="B32" s="40" t="s">
        <v>66</v>
      </c>
      <c r="C32" s="37" t="s">
        <v>89</v>
      </c>
      <c r="D32" s="7" t="s">
        <v>71</v>
      </c>
      <c r="E32" s="44">
        <v>8</v>
      </c>
      <c r="F32" s="36"/>
      <c r="G32" s="36"/>
      <c r="H32" s="36"/>
      <c r="I32" s="36"/>
      <c r="J32" s="36"/>
      <c r="K32" s="36"/>
      <c r="L32" s="36"/>
      <c r="M32" s="36"/>
      <c r="N32" s="36"/>
      <c r="O32" s="36"/>
      <c r="P32" s="36"/>
    </row>
    <row r="33" spans="1:16">
      <c r="A33" s="40">
        <f t="shared" si="0"/>
        <v>19</v>
      </c>
      <c r="B33" s="40" t="s">
        <v>66</v>
      </c>
      <c r="C33" s="37" t="s">
        <v>90</v>
      </c>
      <c r="D33" s="7" t="s">
        <v>71</v>
      </c>
      <c r="E33" s="44">
        <v>1</v>
      </c>
      <c r="F33" s="36"/>
      <c r="G33" s="36"/>
      <c r="H33" s="36"/>
      <c r="I33" s="36"/>
      <c r="J33" s="36"/>
      <c r="K33" s="36"/>
      <c r="L33" s="36"/>
      <c r="M33" s="36"/>
      <c r="N33" s="36"/>
      <c r="O33" s="36"/>
      <c r="P33" s="36"/>
    </row>
    <row r="34" spans="1:16">
      <c r="A34" s="40">
        <f t="shared" si="0"/>
        <v>20</v>
      </c>
      <c r="B34" s="40" t="s">
        <v>66</v>
      </c>
      <c r="C34" s="37" t="s">
        <v>91</v>
      </c>
      <c r="D34" s="7" t="s">
        <v>73</v>
      </c>
      <c r="E34" s="44">
        <f>E22</f>
        <v>6</v>
      </c>
      <c r="F34" s="36"/>
      <c r="G34" s="36"/>
      <c r="H34" s="36"/>
      <c r="I34" s="36"/>
      <c r="J34" s="36"/>
      <c r="K34" s="36"/>
      <c r="L34" s="36"/>
      <c r="M34" s="36"/>
      <c r="N34" s="36"/>
      <c r="O34" s="36"/>
      <c r="P34" s="36"/>
    </row>
    <row r="35" spans="1:16">
      <c r="A35" s="40"/>
      <c r="B35" s="40"/>
      <c r="C35" s="37"/>
      <c r="D35" s="7"/>
      <c r="E35" s="44"/>
      <c r="F35" s="38"/>
      <c r="G35" s="38"/>
      <c r="H35" s="38"/>
      <c r="I35" s="38"/>
      <c r="J35" s="38"/>
      <c r="K35" s="38"/>
      <c r="L35" s="38"/>
      <c r="M35" s="38"/>
      <c r="N35" s="38"/>
      <c r="O35" s="38"/>
      <c r="P35" s="38"/>
    </row>
    <row r="36" spans="1:16">
      <c r="A36" s="40"/>
      <c r="B36" s="205" t="s">
        <v>92</v>
      </c>
      <c r="C36" s="205"/>
      <c r="D36" s="205"/>
      <c r="E36" s="205"/>
      <c r="F36" s="205"/>
      <c r="G36" s="205"/>
      <c r="H36" s="205"/>
      <c r="I36" s="205"/>
      <c r="J36" s="205"/>
      <c r="K36" s="205"/>
      <c r="L36" s="65">
        <f>SUM(L15:L34)</f>
        <v>0</v>
      </c>
      <c r="M36" s="65">
        <f>SUM(M15:M34)</f>
        <v>0</v>
      </c>
      <c r="N36" s="65">
        <f>SUM(N15:N34)</f>
        <v>0</v>
      </c>
      <c r="O36" s="65">
        <f>SUM(O15:O34)</f>
        <v>0</v>
      </c>
      <c r="P36" s="65">
        <f>SUM(P15:P34)</f>
        <v>0</v>
      </c>
    </row>
    <row r="37" spans="1:16">
      <c r="A37" s="27"/>
      <c r="B37" s="27"/>
      <c r="C37" s="28"/>
      <c r="D37" s="27"/>
      <c r="E37" s="27"/>
      <c r="F37" s="27"/>
      <c r="G37" s="27"/>
      <c r="H37" s="27"/>
      <c r="I37" s="27"/>
      <c r="J37" s="27"/>
      <c r="K37" s="27"/>
      <c r="L37" s="27"/>
      <c r="M37" s="27"/>
      <c r="N37" s="27"/>
      <c r="O37" s="27"/>
      <c r="P37" s="27"/>
    </row>
    <row r="38" spans="1:16">
      <c r="A38" s="27"/>
      <c r="B38" s="27"/>
      <c r="C38" s="28"/>
      <c r="D38" s="27"/>
      <c r="E38" s="27"/>
      <c r="F38" s="27"/>
      <c r="G38" s="27"/>
      <c r="H38" s="27"/>
      <c r="I38" s="27"/>
      <c r="J38" s="27"/>
      <c r="K38" s="27"/>
      <c r="L38" s="27"/>
      <c r="M38" s="27"/>
      <c r="N38" s="27"/>
      <c r="O38" s="27"/>
      <c r="P38" s="27"/>
    </row>
    <row r="39" spans="1:16">
      <c r="A39" s="21" t="s">
        <v>9</v>
      </c>
      <c r="B39" s="21"/>
      <c r="C39" s="21"/>
      <c r="D39" s="21"/>
      <c r="E39" s="21"/>
      <c r="F39" s="21"/>
      <c r="G39" s="27"/>
      <c r="H39" s="27"/>
      <c r="I39" s="27"/>
      <c r="J39" s="27"/>
      <c r="K39" s="27"/>
      <c r="L39" s="27"/>
      <c r="M39" s="27"/>
      <c r="N39" s="29"/>
      <c r="O39" s="29"/>
      <c r="P39" s="6"/>
    </row>
    <row r="40" spans="1:16" ht="11.45" customHeight="1">
      <c r="A40" s="208" t="s">
        <v>10</v>
      </c>
      <c r="B40" s="208"/>
      <c r="C40" s="208"/>
      <c r="D40" s="208"/>
      <c r="E40" s="208"/>
      <c r="F40" s="208"/>
      <c r="G40" s="27"/>
      <c r="H40" s="27"/>
      <c r="I40" s="27"/>
      <c r="J40" s="27"/>
      <c r="K40" s="27"/>
      <c r="L40" s="27"/>
      <c r="M40" s="27"/>
      <c r="N40" s="27"/>
      <c r="O40" s="27"/>
      <c r="P40" s="27"/>
    </row>
    <row r="41" spans="1:16">
      <c r="A41" s="22"/>
      <c r="B41" s="189"/>
      <c r="C41" s="189"/>
      <c r="D41" s="189"/>
      <c r="E41" s="189"/>
      <c r="F41" s="189"/>
      <c r="G41" s="27"/>
      <c r="H41" s="27"/>
      <c r="I41" s="27"/>
      <c r="J41" s="27"/>
      <c r="K41" s="27"/>
      <c r="L41" s="27"/>
      <c r="M41" s="27"/>
      <c r="N41" s="27"/>
      <c r="O41" s="27"/>
      <c r="P41" s="27"/>
    </row>
    <row r="42" spans="1:16">
      <c r="A42" s="1" t="str">
        <f>Koptāme!$A$28</f>
        <v>Tāme sastādīta: 2025.gada 20. oktobrī</v>
      </c>
      <c r="B42" s="1"/>
      <c r="C42" s="27"/>
      <c r="D42" s="27"/>
      <c r="E42" s="27"/>
      <c r="F42" s="27"/>
      <c r="G42" s="27"/>
      <c r="H42" s="27"/>
      <c r="I42" s="27"/>
      <c r="J42" s="27"/>
      <c r="K42" s="27"/>
      <c r="L42" s="27"/>
      <c r="M42" s="27"/>
      <c r="N42" s="27"/>
      <c r="O42" s="27"/>
      <c r="P42" s="27"/>
    </row>
    <row r="43" spans="1:16">
      <c r="A43" s="187"/>
      <c r="B43" s="187"/>
      <c r="C43" s="27"/>
      <c r="D43" s="27"/>
      <c r="E43" s="27"/>
      <c r="F43" s="27"/>
      <c r="G43" s="27"/>
      <c r="H43" s="27"/>
      <c r="I43" s="27"/>
      <c r="J43" s="27"/>
      <c r="K43" s="27"/>
      <c r="L43" s="27"/>
      <c r="M43" s="27"/>
      <c r="N43" s="27"/>
      <c r="O43" s="27"/>
      <c r="P43" s="27"/>
    </row>
    <row r="44" spans="1:16">
      <c r="A44" s="21" t="s">
        <v>93</v>
      </c>
      <c r="B44" s="21"/>
      <c r="C44" s="21"/>
      <c r="D44" s="21"/>
      <c r="E44" s="21"/>
      <c r="F44" s="21"/>
      <c r="G44" s="29"/>
      <c r="H44" s="29"/>
      <c r="I44" s="29"/>
      <c r="J44" s="6"/>
      <c r="K44" s="27"/>
      <c r="L44" s="27"/>
      <c r="M44" s="27"/>
      <c r="N44" s="27"/>
      <c r="O44" s="27"/>
      <c r="P44" s="27"/>
    </row>
    <row r="45" spans="1:16" ht="11.45" customHeight="1">
      <c r="A45" s="208" t="s">
        <v>10</v>
      </c>
      <c r="B45" s="208"/>
      <c r="C45" s="208"/>
      <c r="D45" s="208"/>
      <c r="E45" s="208"/>
      <c r="F45" s="208"/>
      <c r="G45" s="27"/>
      <c r="H45" s="27"/>
      <c r="I45" s="27"/>
      <c r="J45" s="27"/>
      <c r="K45" s="27"/>
      <c r="L45" s="27"/>
      <c r="M45" s="27"/>
      <c r="N45" s="27"/>
      <c r="O45" s="27"/>
      <c r="P45" s="27"/>
    </row>
    <row r="46" spans="1:16">
      <c r="A46" s="187"/>
      <c r="B46" s="187"/>
      <c r="C46" s="27"/>
      <c r="D46" s="27"/>
      <c r="E46" s="27"/>
      <c r="F46" s="27"/>
      <c r="G46" s="27"/>
      <c r="H46" s="27"/>
      <c r="I46" s="27"/>
      <c r="J46" s="27"/>
      <c r="K46" s="27"/>
      <c r="L46" s="27"/>
      <c r="M46" s="27"/>
      <c r="N46" s="27"/>
      <c r="O46" s="27"/>
      <c r="P46" s="27"/>
    </row>
    <row r="47" spans="1:16">
      <c r="A47" s="22" t="s">
        <v>11</v>
      </c>
      <c r="B47" s="22"/>
      <c r="C47" s="187"/>
      <c r="D47" s="27"/>
      <c r="E47" s="27"/>
      <c r="F47" s="27"/>
      <c r="G47" s="27"/>
      <c r="H47" s="27"/>
      <c r="I47" s="27"/>
      <c r="J47" s="27"/>
      <c r="K47" s="27"/>
      <c r="L47" s="27"/>
      <c r="M47" s="27"/>
      <c r="N47" s="27"/>
      <c r="O47" s="27"/>
      <c r="P47" s="27"/>
    </row>
    <row r="48" spans="1:16">
      <c r="A48" s="27"/>
      <c r="B48" s="27"/>
      <c r="C48" s="27"/>
      <c r="D48" s="27"/>
      <c r="E48" s="27"/>
      <c r="F48" s="27"/>
      <c r="G48" s="27"/>
      <c r="H48" s="27"/>
      <c r="I48" s="27"/>
      <c r="J48" s="27"/>
      <c r="K48" s="27"/>
      <c r="L48" s="27"/>
      <c r="M48" s="27"/>
      <c r="N48" s="27"/>
      <c r="O48" s="27"/>
      <c r="P48" s="27"/>
    </row>
    <row r="49" spans="1:16">
      <c r="A49" s="27"/>
      <c r="B49" s="27"/>
      <c r="C49" s="27"/>
      <c r="D49" s="27"/>
      <c r="E49" s="27"/>
      <c r="F49" s="27"/>
      <c r="G49" s="27"/>
      <c r="H49" s="27"/>
      <c r="I49" s="27"/>
      <c r="J49" s="27"/>
      <c r="K49" s="27"/>
      <c r="L49" s="27"/>
      <c r="M49" s="27"/>
      <c r="N49" s="27"/>
      <c r="O49" s="27"/>
      <c r="P49" s="27"/>
    </row>
    <row r="50" spans="1:16">
      <c r="A50" s="203" t="s">
        <v>13</v>
      </c>
      <c r="B50" s="203"/>
      <c r="C50" s="203"/>
      <c r="D50" s="203"/>
      <c r="E50" s="203"/>
      <c r="F50" s="203"/>
      <c r="G50" s="203"/>
      <c r="H50" s="203"/>
      <c r="I50" s="203"/>
      <c r="J50" s="203"/>
      <c r="K50" s="203"/>
      <c r="L50" s="203"/>
      <c r="M50" s="203"/>
      <c r="N50" s="203"/>
      <c r="O50" s="203"/>
      <c r="P50" s="203"/>
    </row>
  </sheetData>
  <mergeCells count="17">
    <mergeCell ref="L11:P11"/>
    <mergeCell ref="A50:P50"/>
    <mergeCell ref="B36:K36"/>
    <mergeCell ref="A40:F40"/>
    <mergeCell ref="A45:F45"/>
    <mergeCell ref="A1:P1"/>
    <mergeCell ref="A2:P2"/>
    <mergeCell ref="A3:P3"/>
    <mergeCell ref="A11:A12"/>
    <mergeCell ref="B11:B12"/>
    <mergeCell ref="C11:C12"/>
    <mergeCell ref="D11:D12"/>
    <mergeCell ref="E11:E12"/>
    <mergeCell ref="F11:K11"/>
    <mergeCell ref="A5:F5"/>
    <mergeCell ref="A6:F6"/>
    <mergeCell ref="A7:F7"/>
  </mergeCells>
  <phoneticPr fontId="5" type="noConversion"/>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Zeros="0" topLeftCell="A10" zoomScale="120" zoomScaleNormal="120" zoomScaleSheetLayoutView="100" workbookViewId="0">
      <selection activeCell="E15" sqref="E15"/>
    </sheetView>
  </sheetViews>
  <sheetFormatPr defaultColWidth="8.85546875" defaultRowHeight="11.45"/>
  <cols>
    <col min="1" max="1" width="5.85546875" style="32" customWidth="1"/>
    <col min="2" max="2" width="5.85546875" style="58" customWidth="1"/>
    <col min="3" max="3" width="40.85546875" style="58" customWidth="1"/>
    <col min="4" max="4" width="8.85546875" style="32" customWidth="1"/>
    <col min="5" max="5" width="8.85546875" style="67" customWidth="1"/>
    <col min="6" max="11" width="8.85546875" style="32" customWidth="1"/>
    <col min="12" max="16" width="11.85546875" style="32" customWidth="1"/>
    <col min="17" max="16384" width="8.85546875" style="32"/>
  </cols>
  <sheetData>
    <row r="1" spans="1:16">
      <c r="A1" s="210" t="s">
        <v>94</v>
      </c>
      <c r="B1" s="210"/>
      <c r="C1" s="210"/>
      <c r="D1" s="210"/>
      <c r="E1" s="210"/>
      <c r="F1" s="210"/>
      <c r="G1" s="210"/>
      <c r="H1" s="210"/>
      <c r="I1" s="210"/>
      <c r="J1" s="210"/>
      <c r="K1" s="210"/>
      <c r="L1" s="210"/>
      <c r="M1" s="210"/>
      <c r="N1" s="210"/>
      <c r="O1" s="210"/>
      <c r="P1" s="210"/>
    </row>
    <row r="2" spans="1:16">
      <c r="A2" s="210" t="s">
        <v>29</v>
      </c>
      <c r="B2" s="210"/>
      <c r="C2" s="210"/>
      <c r="D2" s="210"/>
      <c r="E2" s="210"/>
      <c r="F2" s="210"/>
      <c r="G2" s="210"/>
      <c r="H2" s="210"/>
      <c r="I2" s="210"/>
      <c r="J2" s="210"/>
      <c r="K2" s="210"/>
      <c r="L2" s="210"/>
      <c r="M2" s="210"/>
      <c r="N2" s="210"/>
      <c r="O2" s="210"/>
      <c r="P2" s="210"/>
    </row>
    <row r="3" spans="1:16">
      <c r="A3" s="203" t="s">
        <v>49</v>
      </c>
      <c r="B3" s="203"/>
      <c r="C3" s="203"/>
      <c r="D3" s="203"/>
      <c r="E3" s="203"/>
      <c r="F3" s="203"/>
      <c r="G3" s="203"/>
      <c r="H3" s="203"/>
      <c r="I3" s="203"/>
      <c r="J3" s="203"/>
      <c r="K3" s="203"/>
      <c r="L3" s="203"/>
      <c r="M3" s="203"/>
      <c r="N3" s="203"/>
      <c r="O3" s="203"/>
      <c r="P3" s="203"/>
    </row>
    <row r="4" spans="1:16">
      <c r="A4" s="55"/>
      <c r="B4" s="56"/>
      <c r="C4" s="56"/>
      <c r="D4" s="57"/>
      <c r="E4" s="188"/>
      <c r="F4" s="192"/>
      <c r="G4" s="192"/>
      <c r="H4" s="4"/>
      <c r="I4" s="192"/>
      <c r="J4" s="192"/>
      <c r="K4" s="192"/>
      <c r="L4" s="192"/>
      <c r="M4" s="192"/>
      <c r="N4" s="192"/>
      <c r="O4" s="192"/>
    </row>
    <row r="5" spans="1:16" ht="22.5" customHeight="1">
      <c r="A5" s="209" t="str">
        <f>Koptāme!$A$11</f>
        <v>Objekta nosaukums: Slaucamo govju kūts jaunbūve īpašumā
"Vecsašava"</v>
      </c>
      <c r="B5" s="221"/>
      <c r="C5" s="221"/>
      <c r="D5" s="221"/>
      <c r="E5" s="221"/>
      <c r="F5" s="221"/>
      <c r="G5" s="62"/>
      <c r="H5" s="62"/>
      <c r="I5" s="62"/>
      <c r="J5" s="62"/>
      <c r="K5" s="62"/>
      <c r="L5" s="62"/>
      <c r="M5" s="62"/>
      <c r="N5" s="62"/>
      <c r="O5" s="62"/>
    </row>
    <row r="6" spans="1:16" ht="22.5" customHeight="1">
      <c r="A6" s="209" t="str">
        <f>Koptāme!$A$12</f>
        <v>Objekta adrese: Īpašums "Vecsašava", Mālupes pagasts,
Alūksnes novads</v>
      </c>
      <c r="B6" s="221"/>
      <c r="C6" s="221"/>
      <c r="D6" s="221"/>
      <c r="E6" s="221"/>
      <c r="F6" s="221"/>
      <c r="G6" s="192"/>
      <c r="H6" s="4"/>
      <c r="I6" s="192"/>
      <c r="J6" s="192"/>
      <c r="K6" s="192"/>
      <c r="L6" s="192"/>
      <c r="M6" s="192"/>
      <c r="N6" s="192"/>
      <c r="O6" s="192"/>
    </row>
    <row r="7" spans="1:16" ht="14.1" customHeight="1">
      <c r="A7" s="209" t="str">
        <f>Koptāme!$A$13</f>
        <v>Pasūtītājs: Z/S "Jaunceriņi"</v>
      </c>
      <c r="B7" s="221"/>
      <c r="C7" s="221"/>
      <c r="D7" s="221"/>
      <c r="E7" s="221"/>
      <c r="F7" s="221"/>
      <c r="G7" s="192"/>
      <c r="H7" s="4"/>
      <c r="I7" s="192"/>
      <c r="J7" s="192"/>
      <c r="K7" s="192"/>
      <c r="L7" s="192"/>
      <c r="M7" s="192"/>
      <c r="N7" s="192"/>
      <c r="O7" s="192"/>
    </row>
    <row r="8" spans="1:16" ht="12">
      <c r="A8" s="57"/>
      <c r="B8" s="59"/>
      <c r="C8" s="57"/>
      <c r="D8" s="60"/>
      <c r="E8" s="66"/>
      <c r="F8" s="60"/>
      <c r="G8" s="60"/>
      <c r="H8" s="60"/>
      <c r="I8" s="60"/>
      <c r="J8" s="60"/>
      <c r="K8" s="60"/>
      <c r="L8" s="60"/>
      <c r="M8" s="60"/>
      <c r="N8" s="60"/>
      <c r="O8" s="63" t="s">
        <v>50</v>
      </c>
      <c r="P8" s="61">
        <f>P28</f>
        <v>0</v>
      </c>
    </row>
    <row r="9" spans="1:16" ht="12">
      <c r="A9" s="57"/>
      <c r="B9" s="59"/>
      <c r="C9" s="57"/>
      <c r="D9" s="60"/>
      <c r="E9" s="66"/>
      <c r="F9" s="60"/>
      <c r="G9" s="60"/>
      <c r="H9" s="60"/>
      <c r="I9" s="60"/>
      <c r="J9" s="60"/>
      <c r="K9" s="60"/>
      <c r="L9" s="60"/>
      <c r="M9" s="60"/>
      <c r="N9" s="107" t="str">
        <f>Koptāme!$A$28</f>
        <v>Tāme sastādīta: 2025.gada 20. oktobrī</v>
      </c>
      <c r="O9" s="69"/>
      <c r="P9" s="60"/>
    </row>
    <row r="11" spans="1:16" ht="12">
      <c r="A11" s="206" t="s">
        <v>51</v>
      </c>
      <c r="B11" s="207" t="s">
        <v>52</v>
      </c>
      <c r="C11" s="206" t="s">
        <v>53</v>
      </c>
      <c r="D11" s="206" t="s">
        <v>54</v>
      </c>
      <c r="E11" s="222" t="s">
        <v>55</v>
      </c>
      <c r="F11" s="204" t="s">
        <v>56</v>
      </c>
      <c r="G11" s="204"/>
      <c r="H11" s="204"/>
      <c r="I11" s="204"/>
      <c r="J11" s="204"/>
      <c r="K11" s="204"/>
      <c r="L11" s="204" t="s">
        <v>57</v>
      </c>
      <c r="M11" s="204"/>
      <c r="N11" s="204"/>
      <c r="O11" s="204"/>
      <c r="P11" s="204"/>
    </row>
    <row r="12" spans="1:16" ht="48">
      <c r="A12" s="206"/>
      <c r="B12" s="207"/>
      <c r="C12" s="206"/>
      <c r="D12" s="206"/>
      <c r="E12" s="222"/>
      <c r="F12" s="190" t="s">
        <v>58</v>
      </c>
      <c r="G12" s="190" t="s">
        <v>59</v>
      </c>
      <c r="H12" s="190" t="s">
        <v>60</v>
      </c>
      <c r="I12" s="190" t="s">
        <v>24</v>
      </c>
      <c r="J12" s="190" t="s">
        <v>61</v>
      </c>
      <c r="K12" s="190" t="s">
        <v>62</v>
      </c>
      <c r="L12" s="190" t="s">
        <v>63</v>
      </c>
      <c r="M12" s="190" t="s">
        <v>60</v>
      </c>
      <c r="N12" s="190" t="s">
        <v>24</v>
      </c>
      <c r="O12" s="190" t="s">
        <v>61</v>
      </c>
      <c r="P12" s="190" t="s">
        <v>64</v>
      </c>
    </row>
    <row r="13" spans="1:16" ht="12">
      <c r="A13" s="190">
        <v>1</v>
      </c>
      <c r="B13" s="190">
        <v>2</v>
      </c>
      <c r="C13" s="190">
        <v>3</v>
      </c>
      <c r="D13" s="190">
        <v>4</v>
      </c>
      <c r="E13" s="190">
        <v>5</v>
      </c>
      <c r="F13" s="190">
        <v>6</v>
      </c>
      <c r="G13" s="190">
        <v>7</v>
      </c>
      <c r="H13" s="190">
        <v>8</v>
      </c>
      <c r="I13" s="190">
        <v>9</v>
      </c>
      <c r="J13" s="190">
        <v>10</v>
      </c>
      <c r="K13" s="190">
        <v>11</v>
      </c>
      <c r="L13" s="190">
        <v>12</v>
      </c>
      <c r="M13" s="190">
        <v>13</v>
      </c>
      <c r="N13" s="190">
        <v>14</v>
      </c>
      <c r="O13" s="190">
        <v>15</v>
      </c>
      <c r="P13" s="190">
        <v>16</v>
      </c>
    </row>
    <row r="14" spans="1:16">
      <c r="A14" s="46"/>
      <c r="B14" s="40"/>
      <c r="C14" s="117" t="s">
        <v>95</v>
      </c>
      <c r="D14" s="126"/>
      <c r="E14" s="127"/>
      <c r="F14" s="46"/>
      <c r="G14" s="46"/>
      <c r="H14" s="46"/>
      <c r="I14" s="46"/>
      <c r="J14" s="46"/>
      <c r="K14" s="46"/>
      <c r="L14" s="46"/>
      <c r="M14" s="46"/>
      <c r="N14" s="46"/>
      <c r="O14" s="46"/>
      <c r="P14" s="46"/>
    </row>
    <row r="15" spans="1:16" ht="23.1">
      <c r="A15" s="40">
        <v>1</v>
      </c>
      <c r="B15" s="40" t="s">
        <v>96</v>
      </c>
      <c r="C15" s="37" t="s">
        <v>97</v>
      </c>
      <c r="D15" s="7" t="s">
        <v>98</v>
      </c>
      <c r="E15" s="44">
        <v>408.06</v>
      </c>
      <c r="F15" s="36"/>
      <c r="G15" s="36"/>
      <c r="H15" s="36"/>
      <c r="I15" s="36"/>
      <c r="J15" s="36"/>
      <c r="K15" s="36"/>
      <c r="L15" s="36"/>
      <c r="M15" s="36"/>
      <c r="N15" s="36"/>
      <c r="O15" s="36"/>
      <c r="P15" s="36"/>
    </row>
    <row r="16" spans="1:16" ht="34.5">
      <c r="A16" s="40">
        <f t="shared" ref="A16:A18" si="0">A15+1</f>
        <v>2</v>
      </c>
      <c r="B16" s="40" t="s">
        <v>96</v>
      </c>
      <c r="C16" s="37" t="s">
        <v>99</v>
      </c>
      <c r="D16" s="7" t="s">
        <v>98</v>
      </c>
      <c r="E16" s="44">
        <v>310.95999999999998</v>
      </c>
      <c r="F16" s="36"/>
      <c r="G16" s="36"/>
      <c r="H16" s="36"/>
      <c r="I16" s="36"/>
      <c r="J16" s="36"/>
      <c r="K16" s="36"/>
      <c r="L16" s="36"/>
      <c r="M16" s="36"/>
      <c r="N16" s="36"/>
      <c r="O16" s="36"/>
      <c r="P16" s="36"/>
    </row>
    <row r="17" spans="1:16" ht="23.1">
      <c r="A17" s="40">
        <f t="shared" si="0"/>
        <v>3</v>
      </c>
      <c r="B17" s="40" t="s">
        <v>96</v>
      </c>
      <c r="C17" s="37" t="s">
        <v>100</v>
      </c>
      <c r="D17" s="7" t="s">
        <v>98</v>
      </c>
      <c r="E17" s="44">
        <v>225.5</v>
      </c>
      <c r="F17" s="36"/>
      <c r="G17" s="36"/>
      <c r="H17" s="36"/>
      <c r="I17" s="36"/>
      <c r="J17" s="36"/>
      <c r="K17" s="36"/>
      <c r="L17" s="36"/>
      <c r="M17" s="36"/>
      <c r="N17" s="36"/>
      <c r="O17" s="36"/>
      <c r="P17" s="36"/>
    </row>
    <row r="18" spans="1:16">
      <c r="A18" s="40">
        <f t="shared" si="0"/>
        <v>4</v>
      </c>
      <c r="B18" s="40" t="s">
        <v>96</v>
      </c>
      <c r="C18" s="37" t="s">
        <v>101</v>
      </c>
      <c r="D18" s="7" t="s">
        <v>102</v>
      </c>
      <c r="E18" s="44">
        <v>1</v>
      </c>
      <c r="F18" s="36"/>
      <c r="G18" s="36"/>
      <c r="H18" s="36"/>
      <c r="I18" s="36"/>
      <c r="J18" s="36"/>
      <c r="K18" s="36"/>
      <c r="L18" s="36"/>
      <c r="M18" s="36"/>
      <c r="N18" s="36"/>
      <c r="O18" s="36"/>
      <c r="P18" s="36"/>
    </row>
    <row r="19" spans="1:16">
      <c r="A19" s="40"/>
      <c r="B19" s="40"/>
      <c r="C19" s="37"/>
      <c r="D19" s="7"/>
      <c r="E19" s="44"/>
      <c r="F19" s="36"/>
      <c r="G19" s="36"/>
      <c r="H19" s="36"/>
      <c r="I19" s="36"/>
      <c r="J19" s="36"/>
      <c r="K19" s="36"/>
      <c r="L19" s="36"/>
      <c r="M19" s="36"/>
      <c r="N19" s="36"/>
      <c r="O19" s="36"/>
      <c r="P19" s="36"/>
    </row>
    <row r="20" spans="1:16">
      <c r="A20" s="40"/>
      <c r="B20" s="191"/>
      <c r="C20" s="115" t="s">
        <v>103</v>
      </c>
      <c r="D20" s="43"/>
      <c r="E20" s="128"/>
      <c r="F20" s="36"/>
      <c r="G20" s="36"/>
      <c r="H20" s="36"/>
      <c r="I20" s="36"/>
      <c r="J20" s="36"/>
      <c r="K20" s="36"/>
      <c r="L20" s="36"/>
      <c r="M20" s="36"/>
      <c r="N20" s="36"/>
      <c r="O20" s="36"/>
      <c r="P20" s="36"/>
    </row>
    <row r="21" spans="1:16" ht="23.1">
      <c r="A21" s="40">
        <f>A18+1</f>
        <v>5</v>
      </c>
      <c r="B21" s="191" t="s">
        <v>66</v>
      </c>
      <c r="C21" s="37" t="s">
        <v>104</v>
      </c>
      <c r="D21" s="7" t="s">
        <v>98</v>
      </c>
      <c r="E21" s="44">
        <v>848.33</v>
      </c>
      <c r="F21" s="36"/>
      <c r="G21" s="36"/>
      <c r="H21" s="36"/>
      <c r="I21" s="36"/>
      <c r="J21" s="36"/>
      <c r="K21" s="36"/>
      <c r="L21" s="36"/>
      <c r="M21" s="36"/>
      <c r="N21" s="36"/>
      <c r="O21" s="36"/>
      <c r="P21" s="36"/>
    </row>
    <row r="22" spans="1:16">
      <c r="A22" s="40">
        <f>A21+1</f>
        <v>6</v>
      </c>
      <c r="B22" s="191" t="s">
        <v>66</v>
      </c>
      <c r="C22" s="37" t="s">
        <v>105</v>
      </c>
      <c r="D22" s="7" t="s">
        <v>106</v>
      </c>
      <c r="E22" s="44">
        <v>206</v>
      </c>
      <c r="F22" s="36"/>
      <c r="G22" s="36"/>
      <c r="H22" s="36"/>
      <c r="I22" s="36"/>
      <c r="J22" s="36"/>
      <c r="K22" s="36"/>
      <c r="L22" s="36"/>
      <c r="M22" s="36"/>
      <c r="N22" s="36"/>
      <c r="O22" s="36"/>
      <c r="P22" s="36"/>
    </row>
    <row r="23" spans="1:16">
      <c r="A23" s="40"/>
      <c r="B23" s="40"/>
      <c r="C23" s="37"/>
      <c r="D23" s="7"/>
      <c r="E23" s="44"/>
      <c r="F23" s="36"/>
      <c r="G23" s="36"/>
      <c r="H23" s="36"/>
      <c r="I23" s="36"/>
      <c r="J23" s="36"/>
      <c r="K23" s="36"/>
      <c r="L23" s="36"/>
      <c r="M23" s="36"/>
      <c r="N23" s="36"/>
      <c r="O23" s="36"/>
      <c r="P23" s="36"/>
    </row>
    <row r="24" spans="1:16">
      <c r="A24" s="46"/>
      <c r="B24" s="40"/>
      <c r="C24" s="117" t="s">
        <v>107</v>
      </c>
      <c r="D24" s="126"/>
      <c r="E24" s="127"/>
      <c r="F24" s="46"/>
      <c r="G24" s="46"/>
      <c r="H24" s="46"/>
      <c r="I24" s="46"/>
      <c r="J24" s="46"/>
      <c r="K24" s="46"/>
      <c r="L24" s="46"/>
      <c r="M24" s="46"/>
      <c r="N24" s="46"/>
      <c r="O24" s="46"/>
      <c r="P24" s="46"/>
    </row>
    <row r="25" spans="1:16" ht="23.1">
      <c r="A25" s="40">
        <f>A23+1</f>
        <v>1</v>
      </c>
      <c r="B25" s="40" t="s">
        <v>96</v>
      </c>
      <c r="C25" s="37" t="s">
        <v>97</v>
      </c>
      <c r="D25" s="7" t="s">
        <v>98</v>
      </c>
      <c r="E25" s="44">
        <v>129.6</v>
      </c>
      <c r="F25" s="36"/>
      <c r="G25" s="36"/>
      <c r="H25" s="36"/>
      <c r="I25" s="36"/>
      <c r="J25" s="36"/>
      <c r="K25" s="36"/>
      <c r="L25" s="36"/>
      <c r="M25" s="36"/>
      <c r="N25" s="36"/>
      <c r="O25" s="36"/>
      <c r="P25" s="36"/>
    </row>
    <row r="26" spans="1:16" ht="23.1">
      <c r="A26" s="40">
        <f t="shared" ref="A26" si="1">A25+1</f>
        <v>2</v>
      </c>
      <c r="B26" s="40" t="s">
        <v>96</v>
      </c>
      <c r="C26" s="37" t="s">
        <v>108</v>
      </c>
      <c r="D26" s="7" t="s">
        <v>98</v>
      </c>
      <c r="E26" s="44">
        <v>546</v>
      </c>
      <c r="F26" s="36"/>
      <c r="G26" s="36"/>
      <c r="H26" s="36"/>
      <c r="I26" s="36"/>
      <c r="J26" s="36"/>
      <c r="K26" s="36"/>
      <c r="L26" s="36"/>
      <c r="M26" s="36"/>
      <c r="N26" s="36"/>
      <c r="O26" s="36"/>
      <c r="P26" s="36"/>
    </row>
    <row r="27" spans="1:16">
      <c r="A27" s="40"/>
      <c r="B27" s="40"/>
      <c r="C27" s="37"/>
      <c r="D27" s="7"/>
      <c r="E27" s="44"/>
      <c r="F27" s="38"/>
      <c r="G27" s="38"/>
      <c r="H27" s="38"/>
      <c r="I27" s="38"/>
      <c r="J27" s="38"/>
      <c r="K27" s="38"/>
      <c r="L27" s="38"/>
      <c r="M27" s="38"/>
      <c r="N27" s="38"/>
      <c r="O27" s="38"/>
      <c r="P27" s="38"/>
    </row>
    <row r="28" spans="1:16">
      <c r="A28" s="46"/>
      <c r="B28" s="205" t="s">
        <v>92</v>
      </c>
      <c r="C28" s="205"/>
      <c r="D28" s="205"/>
      <c r="E28" s="205"/>
      <c r="F28" s="205"/>
      <c r="G28" s="205"/>
      <c r="H28" s="205"/>
      <c r="I28" s="205"/>
      <c r="J28" s="205"/>
      <c r="K28" s="205"/>
      <c r="L28" s="65">
        <f>SUM(L15:L27)</f>
        <v>0</v>
      </c>
      <c r="M28" s="65">
        <f>SUM(M15:M27)</f>
        <v>0</v>
      </c>
      <c r="N28" s="65">
        <f>SUM(N15:N27)</f>
        <v>0</v>
      </c>
      <c r="O28" s="65">
        <f>SUM(O15:O27)</f>
        <v>0</v>
      </c>
      <c r="P28" s="65">
        <f>SUM(P15:P27)</f>
        <v>0</v>
      </c>
    </row>
    <row r="29" spans="1:16">
      <c r="A29" s="27"/>
      <c r="B29" s="27"/>
      <c r="C29" s="28"/>
      <c r="D29" s="27"/>
      <c r="E29" s="27"/>
      <c r="F29" s="27"/>
      <c r="G29" s="27"/>
      <c r="H29" s="27"/>
      <c r="I29" s="27"/>
      <c r="J29" s="27"/>
      <c r="K29" s="27"/>
      <c r="L29" s="27"/>
      <c r="M29" s="27"/>
      <c r="N29" s="27"/>
      <c r="O29" s="27"/>
      <c r="P29" s="27"/>
    </row>
    <row r="30" spans="1:16">
      <c r="A30" s="27"/>
      <c r="B30" s="27"/>
      <c r="C30" s="28"/>
      <c r="D30" s="27"/>
      <c r="E30" s="27"/>
      <c r="F30" s="27"/>
      <c r="G30" s="27"/>
      <c r="H30" s="27"/>
      <c r="I30" s="27"/>
      <c r="J30" s="27"/>
      <c r="K30" s="27"/>
      <c r="L30" s="27"/>
      <c r="M30" s="27"/>
      <c r="N30" s="27"/>
      <c r="O30" s="27"/>
      <c r="P30" s="27"/>
    </row>
    <row r="31" spans="1:16">
      <c r="A31" s="22" t="s">
        <v>9</v>
      </c>
      <c r="B31" s="21"/>
      <c r="C31" s="21"/>
      <c r="D31" s="21"/>
      <c r="E31" s="21"/>
      <c r="F31" s="21"/>
      <c r="G31" s="22"/>
      <c r="H31" s="21"/>
      <c r="I31" s="21"/>
      <c r="J31" s="21"/>
      <c r="K31" s="21"/>
      <c r="L31" s="21"/>
      <c r="M31" s="29"/>
      <c r="N31" s="29"/>
      <c r="O31" s="29"/>
      <c r="P31" s="6"/>
    </row>
    <row r="32" spans="1:16">
      <c r="A32" s="22"/>
      <c r="B32" s="208" t="s">
        <v>10</v>
      </c>
      <c r="C32" s="208"/>
      <c r="D32" s="208"/>
      <c r="E32" s="208"/>
      <c r="F32" s="208"/>
      <c r="G32" s="22"/>
      <c r="H32" s="223"/>
      <c r="I32" s="223"/>
      <c r="J32" s="223"/>
      <c r="K32" s="223"/>
      <c r="L32" s="223"/>
      <c r="M32" s="27"/>
      <c r="N32" s="27"/>
      <c r="O32" s="27"/>
      <c r="P32" s="27"/>
    </row>
    <row r="33" spans="1:16">
      <c r="A33" s="22"/>
      <c r="B33" s="189"/>
      <c r="C33" s="189"/>
      <c r="D33" s="189"/>
      <c r="E33" s="189"/>
      <c r="F33" s="189"/>
      <c r="G33" s="22"/>
      <c r="H33" s="189"/>
      <c r="I33" s="189"/>
      <c r="J33" s="189"/>
      <c r="K33" s="189"/>
      <c r="L33" s="189"/>
      <c r="M33" s="27"/>
      <c r="N33" s="27"/>
      <c r="O33" s="27"/>
      <c r="P33" s="27"/>
    </row>
    <row r="34" spans="1:16">
      <c r="A34" s="1" t="str">
        <f>Koptāme!$A$28</f>
        <v>Tāme sastādīta: 2025.gada 20. oktobrī</v>
      </c>
      <c r="B34" s="1"/>
      <c r="C34" s="27"/>
      <c r="D34" s="27"/>
      <c r="E34" s="27"/>
      <c r="F34" s="27"/>
      <c r="G34" s="27"/>
      <c r="H34" s="27"/>
      <c r="I34" s="27"/>
      <c r="J34" s="27"/>
      <c r="K34" s="27"/>
      <c r="L34" s="27"/>
      <c r="M34" s="27"/>
      <c r="N34" s="27"/>
      <c r="O34" s="27"/>
      <c r="P34" s="27"/>
    </row>
    <row r="35" spans="1:16">
      <c r="A35" s="187"/>
      <c r="B35" s="187"/>
      <c r="C35" s="27"/>
      <c r="D35" s="27"/>
      <c r="E35" s="27"/>
      <c r="F35" s="27"/>
      <c r="G35" s="27"/>
      <c r="H35" s="27"/>
      <c r="I35" s="27"/>
      <c r="J35" s="27"/>
      <c r="K35" s="27"/>
      <c r="L35" s="27"/>
      <c r="M35" s="27"/>
      <c r="N35" s="27"/>
      <c r="O35" s="27"/>
      <c r="P35" s="27"/>
    </row>
    <row r="36" spans="1:16">
      <c r="A36" s="22" t="s">
        <v>93</v>
      </c>
      <c r="B36" s="21"/>
      <c r="C36" s="21"/>
      <c r="D36" s="21"/>
      <c r="E36" s="21"/>
      <c r="F36" s="21"/>
      <c r="G36" s="29"/>
      <c r="H36" s="29"/>
      <c r="I36" s="29"/>
      <c r="J36" s="6"/>
      <c r="K36" s="27"/>
      <c r="L36" s="27"/>
      <c r="M36" s="27"/>
      <c r="N36" s="27"/>
      <c r="O36" s="27"/>
      <c r="P36" s="27"/>
    </row>
    <row r="37" spans="1:16">
      <c r="A37" s="22"/>
      <c r="B37" s="223" t="s">
        <v>10</v>
      </c>
      <c r="C37" s="223"/>
      <c r="D37" s="223"/>
      <c r="E37" s="223"/>
      <c r="F37" s="223"/>
      <c r="G37" s="27"/>
      <c r="H37" s="27"/>
      <c r="I37" s="27"/>
      <c r="J37" s="27"/>
      <c r="K37" s="27"/>
      <c r="L37" s="27"/>
      <c r="M37" s="27"/>
      <c r="N37" s="27"/>
      <c r="O37" s="27"/>
      <c r="P37" s="27"/>
    </row>
    <row r="38" spans="1:16">
      <c r="A38" s="187"/>
      <c r="B38" s="187"/>
      <c r="C38" s="27"/>
      <c r="D38" s="27"/>
      <c r="E38" s="27"/>
      <c r="F38" s="27"/>
      <c r="G38" s="27"/>
      <c r="H38" s="27"/>
      <c r="I38" s="27"/>
      <c r="J38" s="27"/>
      <c r="K38" s="27"/>
      <c r="L38" s="27"/>
      <c r="M38" s="27"/>
      <c r="N38" s="27"/>
      <c r="O38" s="27"/>
      <c r="P38" s="27"/>
    </row>
    <row r="39" spans="1:16">
      <c r="A39" s="22" t="s">
        <v>11</v>
      </c>
      <c r="B39" s="22"/>
      <c r="C39" s="187"/>
      <c r="D39" s="27"/>
      <c r="E39" s="27"/>
      <c r="F39" s="27"/>
      <c r="G39" s="27"/>
      <c r="H39" s="27"/>
      <c r="I39" s="27"/>
      <c r="J39" s="27"/>
      <c r="K39" s="27"/>
      <c r="L39" s="27"/>
      <c r="M39" s="27"/>
      <c r="N39" s="27"/>
      <c r="O39" s="27"/>
      <c r="P39" s="27"/>
    </row>
    <row r="40" spans="1:16">
      <c r="A40" s="27"/>
      <c r="B40" s="27"/>
      <c r="C40" s="27"/>
      <c r="D40" s="27"/>
      <c r="E40" s="27"/>
      <c r="F40" s="27"/>
      <c r="G40" s="27"/>
      <c r="H40" s="27"/>
      <c r="I40" s="27"/>
      <c r="J40" s="27"/>
      <c r="K40" s="27"/>
      <c r="L40" s="27"/>
      <c r="M40" s="27"/>
      <c r="N40" s="27"/>
      <c r="O40" s="27"/>
      <c r="P40" s="27"/>
    </row>
    <row r="41" spans="1:16">
      <c r="A41" s="27"/>
      <c r="B41" s="27"/>
      <c r="C41" s="27"/>
      <c r="D41" s="27"/>
      <c r="E41" s="27"/>
      <c r="F41" s="27"/>
      <c r="G41" s="27"/>
      <c r="H41" s="27"/>
      <c r="I41" s="27"/>
      <c r="J41" s="27"/>
      <c r="K41" s="27"/>
      <c r="L41" s="27"/>
      <c r="M41" s="27"/>
      <c r="N41" s="27"/>
      <c r="O41" s="27"/>
      <c r="P41" s="27"/>
    </row>
    <row r="42" spans="1:16">
      <c r="A42" s="203" t="s">
        <v>13</v>
      </c>
      <c r="B42" s="203"/>
      <c r="C42" s="203"/>
      <c r="D42" s="203"/>
      <c r="E42" s="203"/>
      <c r="F42" s="203"/>
      <c r="G42" s="203"/>
      <c r="H42" s="203"/>
      <c r="I42" s="203"/>
      <c r="J42" s="203"/>
      <c r="K42" s="203"/>
      <c r="L42" s="203"/>
      <c r="M42" s="203"/>
      <c r="N42" s="203"/>
      <c r="O42" s="203"/>
      <c r="P42" s="203"/>
    </row>
  </sheetData>
  <mergeCells count="18">
    <mergeCell ref="A1:P1"/>
    <mergeCell ref="A2:P2"/>
    <mergeCell ref="A3:P3"/>
    <mergeCell ref="A11:A12"/>
    <mergeCell ref="B11:B12"/>
    <mergeCell ref="C11:C12"/>
    <mergeCell ref="D11:D12"/>
    <mergeCell ref="E11:E12"/>
    <mergeCell ref="F11:K11"/>
    <mergeCell ref="A5:F5"/>
    <mergeCell ref="A6:F6"/>
    <mergeCell ref="A7:F7"/>
    <mergeCell ref="L11:P11"/>
    <mergeCell ref="B32:F32"/>
    <mergeCell ref="H32:L32"/>
    <mergeCell ref="B37:F37"/>
    <mergeCell ref="A42:P42"/>
    <mergeCell ref="B28:K28"/>
  </mergeCells>
  <phoneticPr fontId="5" type="noConversion"/>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1"/>
  <sheetViews>
    <sheetView showZeros="0" topLeftCell="A246" zoomScale="130" zoomScaleNormal="130" zoomScaleSheetLayoutView="90" workbookViewId="0">
      <selection activeCell="G251" sqref="G251"/>
    </sheetView>
  </sheetViews>
  <sheetFormatPr defaultRowHeight="11.45"/>
  <cols>
    <col min="1" max="2" width="5.85546875" style="58" customWidth="1"/>
    <col min="3" max="3" width="40.85546875" style="58" customWidth="1"/>
    <col min="4" max="4" width="8.85546875" style="32" customWidth="1"/>
    <col min="5" max="6" width="10.85546875" style="32" customWidth="1"/>
    <col min="7" max="12" width="8.85546875" style="32" customWidth="1"/>
    <col min="13" max="17" width="11.85546875" style="32" customWidth="1"/>
    <col min="18" max="220" width="9.140625" style="32"/>
    <col min="221" max="221" width="1.85546875" style="32" customWidth="1"/>
    <col min="222" max="222" width="3.85546875" style="32" customWidth="1"/>
    <col min="223" max="223" width="8.5703125" style="32" customWidth="1"/>
    <col min="224" max="224" width="29.140625" style="32" customWidth="1"/>
    <col min="225" max="225" width="14.85546875" style="32" customWidth="1"/>
    <col min="226" max="226" width="8.140625" style="32" customWidth="1"/>
    <col min="227" max="227" width="7.140625" style="32" customWidth="1"/>
    <col min="228" max="228" width="7.85546875" style="32" customWidth="1"/>
    <col min="229" max="229" width="9.42578125" style="32" bestFit="1" customWidth="1"/>
    <col min="230" max="230" width="10.85546875" style="32" bestFit="1" customWidth="1"/>
    <col min="231" max="231" width="8.5703125" style="32" customWidth="1"/>
    <col min="232" max="232" width="10.140625" style="32" customWidth="1"/>
    <col min="233" max="233" width="9.140625" style="32"/>
    <col min="234" max="234" width="12.140625" style="32" customWidth="1"/>
    <col min="235" max="235" width="10.140625" style="32" customWidth="1"/>
    <col min="236" max="236" width="9.85546875" style="32" customWidth="1"/>
    <col min="237" max="237" width="10.85546875" style="32" customWidth="1"/>
    <col min="238" max="476" width="9.140625" style="32"/>
    <col min="477" max="477" width="1.85546875" style="32" customWidth="1"/>
    <col min="478" max="478" width="3.85546875" style="32" customWidth="1"/>
    <col min="479" max="479" width="8.5703125" style="32" customWidth="1"/>
    <col min="480" max="480" width="29.140625" style="32" customWidth="1"/>
    <col min="481" max="481" width="14.85546875" style="32" customWidth="1"/>
    <col min="482" max="482" width="8.140625" style="32" customWidth="1"/>
    <col min="483" max="483" width="7.140625" style="32" customWidth="1"/>
    <col min="484" max="484" width="7.85546875" style="32" customWidth="1"/>
    <col min="485" max="485" width="9.42578125" style="32" bestFit="1" customWidth="1"/>
    <col min="486" max="486" width="10.85546875" style="32" bestFit="1" customWidth="1"/>
    <col min="487" max="487" width="8.5703125" style="32" customWidth="1"/>
    <col min="488" max="488" width="10.140625" style="32" customWidth="1"/>
    <col min="489" max="489" width="9.140625" style="32"/>
    <col min="490" max="490" width="12.140625" style="32" customWidth="1"/>
    <col min="491" max="491" width="10.140625" style="32" customWidth="1"/>
    <col min="492" max="492" width="9.85546875" style="32" customWidth="1"/>
    <col min="493" max="493" width="10.85546875" style="32" customWidth="1"/>
    <col min="494" max="732" width="9.140625" style="32"/>
    <col min="733" max="733" width="1.85546875" style="32" customWidth="1"/>
    <col min="734" max="734" width="3.85546875" style="32" customWidth="1"/>
    <col min="735" max="735" width="8.5703125" style="32" customWidth="1"/>
    <col min="736" max="736" width="29.140625" style="32" customWidth="1"/>
    <col min="737" max="737" width="14.85546875" style="32" customWidth="1"/>
    <col min="738" max="738" width="8.140625" style="32" customWidth="1"/>
    <col min="739" max="739" width="7.140625" style="32" customWidth="1"/>
    <col min="740" max="740" width="7.85546875" style="32" customWidth="1"/>
    <col min="741" max="741" width="9.42578125" style="32" bestFit="1" customWidth="1"/>
    <col min="742" max="742" width="10.85546875" style="32" bestFit="1" customWidth="1"/>
    <col min="743" max="743" width="8.5703125" style="32" customWidth="1"/>
    <col min="744" max="744" width="10.140625" style="32" customWidth="1"/>
    <col min="745" max="745" width="9.140625" style="32"/>
    <col min="746" max="746" width="12.140625" style="32" customWidth="1"/>
    <col min="747" max="747" width="10.140625" style="32" customWidth="1"/>
    <col min="748" max="748" width="9.85546875" style="32" customWidth="1"/>
    <col min="749" max="749" width="10.85546875" style="32" customWidth="1"/>
    <col min="750" max="988" width="9.140625" style="32"/>
    <col min="989" max="989" width="1.85546875" style="32" customWidth="1"/>
    <col min="990" max="990" width="3.85546875" style="32" customWidth="1"/>
    <col min="991" max="991" width="8.5703125" style="32" customWidth="1"/>
    <col min="992" max="992" width="29.140625" style="32" customWidth="1"/>
    <col min="993" max="993" width="14.85546875" style="32" customWidth="1"/>
    <col min="994" max="994" width="8.140625" style="32" customWidth="1"/>
    <col min="995" max="995" width="7.140625" style="32" customWidth="1"/>
    <col min="996" max="996" width="7.85546875" style="32" customWidth="1"/>
    <col min="997" max="997" width="9.42578125" style="32" bestFit="1" customWidth="1"/>
    <col min="998" max="998" width="10.85546875" style="32" bestFit="1" customWidth="1"/>
    <col min="999" max="999" width="8.5703125" style="32" customWidth="1"/>
    <col min="1000" max="1000" width="10.140625" style="32" customWidth="1"/>
    <col min="1001" max="1001" width="9.140625" style="32"/>
    <col min="1002" max="1002" width="12.140625" style="32" customWidth="1"/>
    <col min="1003" max="1003" width="10.140625" style="32" customWidth="1"/>
    <col min="1004" max="1004" width="9.85546875" style="32" customWidth="1"/>
    <col min="1005" max="1005" width="10.85546875" style="32" customWidth="1"/>
    <col min="1006" max="1244" width="9.140625" style="32"/>
    <col min="1245" max="1245" width="1.85546875" style="32" customWidth="1"/>
    <col min="1246" max="1246" width="3.85546875" style="32" customWidth="1"/>
    <col min="1247" max="1247" width="8.5703125" style="32" customWidth="1"/>
    <col min="1248" max="1248" width="29.140625" style="32" customWidth="1"/>
    <col min="1249" max="1249" width="14.85546875" style="32" customWidth="1"/>
    <col min="1250" max="1250" width="8.140625" style="32" customWidth="1"/>
    <col min="1251" max="1251" width="7.140625" style="32" customWidth="1"/>
    <col min="1252" max="1252" width="7.85546875" style="32" customWidth="1"/>
    <col min="1253" max="1253" width="9.42578125" style="32" bestFit="1" customWidth="1"/>
    <col min="1254" max="1254" width="10.85546875" style="32" bestFit="1" customWidth="1"/>
    <col min="1255" max="1255" width="8.5703125" style="32" customWidth="1"/>
    <col min="1256" max="1256" width="10.140625" style="32" customWidth="1"/>
    <col min="1257" max="1257" width="9.140625" style="32"/>
    <col min="1258" max="1258" width="12.140625" style="32" customWidth="1"/>
    <col min="1259" max="1259" width="10.140625" style="32" customWidth="1"/>
    <col min="1260" max="1260" width="9.85546875" style="32" customWidth="1"/>
    <col min="1261" max="1261" width="10.85546875" style="32" customWidth="1"/>
    <col min="1262" max="1500" width="9.140625" style="32"/>
    <col min="1501" max="1501" width="1.85546875" style="32" customWidth="1"/>
    <col min="1502" max="1502" width="3.85546875" style="32" customWidth="1"/>
    <col min="1503" max="1503" width="8.5703125" style="32" customWidth="1"/>
    <col min="1504" max="1504" width="29.140625" style="32" customWidth="1"/>
    <col min="1505" max="1505" width="14.85546875" style="32" customWidth="1"/>
    <col min="1506" max="1506" width="8.140625" style="32" customWidth="1"/>
    <col min="1507" max="1507" width="7.140625" style="32" customWidth="1"/>
    <col min="1508" max="1508" width="7.85546875" style="32" customWidth="1"/>
    <col min="1509" max="1509" width="9.42578125" style="32" bestFit="1" customWidth="1"/>
    <col min="1510" max="1510" width="10.85546875" style="32" bestFit="1" customWidth="1"/>
    <col min="1511" max="1511" width="8.5703125" style="32" customWidth="1"/>
    <col min="1512" max="1512" width="10.140625" style="32" customWidth="1"/>
    <col min="1513" max="1513" width="9.140625" style="32"/>
    <col min="1514" max="1514" width="12.140625" style="32" customWidth="1"/>
    <col min="1515" max="1515" width="10.140625" style="32" customWidth="1"/>
    <col min="1516" max="1516" width="9.85546875" style="32" customWidth="1"/>
    <col min="1517" max="1517" width="10.85546875" style="32" customWidth="1"/>
    <col min="1518" max="1756" width="9.140625" style="32"/>
    <col min="1757" max="1757" width="1.85546875" style="32" customWidth="1"/>
    <col min="1758" max="1758" width="3.85546875" style="32" customWidth="1"/>
    <col min="1759" max="1759" width="8.5703125" style="32" customWidth="1"/>
    <col min="1760" max="1760" width="29.140625" style="32" customWidth="1"/>
    <col min="1761" max="1761" width="14.85546875" style="32" customWidth="1"/>
    <col min="1762" max="1762" width="8.140625" style="32" customWidth="1"/>
    <col min="1763" max="1763" width="7.140625" style="32" customWidth="1"/>
    <col min="1764" max="1764" width="7.85546875" style="32" customWidth="1"/>
    <col min="1765" max="1765" width="9.42578125" style="32" bestFit="1" customWidth="1"/>
    <col min="1766" max="1766" width="10.85546875" style="32" bestFit="1" customWidth="1"/>
    <col min="1767" max="1767" width="8.5703125" style="32" customWidth="1"/>
    <col min="1768" max="1768" width="10.140625" style="32" customWidth="1"/>
    <col min="1769" max="1769" width="9.140625" style="32"/>
    <col min="1770" max="1770" width="12.140625" style="32" customWidth="1"/>
    <col min="1771" max="1771" width="10.140625" style="32" customWidth="1"/>
    <col min="1772" max="1772" width="9.85546875" style="32" customWidth="1"/>
    <col min="1773" max="1773" width="10.85546875" style="32" customWidth="1"/>
    <col min="1774" max="2012" width="9.140625" style="32"/>
    <col min="2013" max="2013" width="1.85546875" style="32" customWidth="1"/>
    <col min="2014" max="2014" width="3.85546875" style="32" customWidth="1"/>
    <col min="2015" max="2015" width="8.5703125" style="32" customWidth="1"/>
    <col min="2016" max="2016" width="29.140625" style="32" customWidth="1"/>
    <col min="2017" max="2017" width="14.85546875" style="32" customWidth="1"/>
    <col min="2018" max="2018" width="8.140625" style="32" customWidth="1"/>
    <col min="2019" max="2019" width="7.140625" style="32" customWidth="1"/>
    <col min="2020" max="2020" width="7.85546875" style="32" customWidth="1"/>
    <col min="2021" max="2021" width="9.42578125" style="32" bestFit="1" customWidth="1"/>
    <col min="2022" max="2022" width="10.85546875" style="32" bestFit="1" customWidth="1"/>
    <col min="2023" max="2023" width="8.5703125" style="32" customWidth="1"/>
    <col min="2024" max="2024" width="10.140625" style="32" customWidth="1"/>
    <col min="2025" max="2025" width="9.140625" style="32"/>
    <col min="2026" max="2026" width="12.140625" style="32" customWidth="1"/>
    <col min="2027" max="2027" width="10.140625" style="32" customWidth="1"/>
    <col min="2028" max="2028" width="9.85546875" style="32" customWidth="1"/>
    <col min="2029" max="2029" width="10.85546875" style="32" customWidth="1"/>
    <col min="2030" max="2268" width="9.140625" style="32"/>
    <col min="2269" max="2269" width="1.85546875" style="32" customWidth="1"/>
    <col min="2270" max="2270" width="3.85546875" style="32" customWidth="1"/>
    <col min="2271" max="2271" width="8.5703125" style="32" customWidth="1"/>
    <col min="2272" max="2272" width="29.140625" style="32" customWidth="1"/>
    <col min="2273" max="2273" width="14.85546875" style="32" customWidth="1"/>
    <col min="2274" max="2274" width="8.140625" style="32" customWidth="1"/>
    <col min="2275" max="2275" width="7.140625" style="32" customWidth="1"/>
    <col min="2276" max="2276" width="7.85546875" style="32" customWidth="1"/>
    <col min="2277" max="2277" width="9.42578125" style="32" bestFit="1" customWidth="1"/>
    <col min="2278" max="2278" width="10.85546875" style="32" bestFit="1" customWidth="1"/>
    <col min="2279" max="2279" width="8.5703125" style="32" customWidth="1"/>
    <col min="2280" max="2280" width="10.140625" style="32" customWidth="1"/>
    <col min="2281" max="2281" width="9.140625" style="32"/>
    <col min="2282" max="2282" width="12.140625" style="32" customWidth="1"/>
    <col min="2283" max="2283" width="10.140625" style="32" customWidth="1"/>
    <col min="2284" max="2284" width="9.85546875" style="32" customWidth="1"/>
    <col min="2285" max="2285" width="10.85546875" style="32" customWidth="1"/>
    <col min="2286" max="2524" width="9.140625" style="32"/>
    <col min="2525" max="2525" width="1.85546875" style="32" customWidth="1"/>
    <col min="2526" max="2526" width="3.85546875" style="32" customWidth="1"/>
    <col min="2527" max="2527" width="8.5703125" style="32" customWidth="1"/>
    <col min="2528" max="2528" width="29.140625" style="32" customWidth="1"/>
    <col min="2529" max="2529" width="14.85546875" style="32" customWidth="1"/>
    <col min="2530" max="2530" width="8.140625" style="32" customWidth="1"/>
    <col min="2531" max="2531" width="7.140625" style="32" customWidth="1"/>
    <col min="2532" max="2532" width="7.85546875" style="32" customWidth="1"/>
    <col min="2533" max="2533" width="9.42578125" style="32" bestFit="1" customWidth="1"/>
    <col min="2534" max="2534" width="10.85546875" style="32" bestFit="1" customWidth="1"/>
    <col min="2535" max="2535" width="8.5703125" style="32" customWidth="1"/>
    <col min="2536" max="2536" width="10.140625" style="32" customWidth="1"/>
    <col min="2537" max="2537" width="9.140625" style="32"/>
    <col min="2538" max="2538" width="12.140625" style="32" customWidth="1"/>
    <col min="2539" max="2539" width="10.140625" style="32" customWidth="1"/>
    <col min="2540" max="2540" width="9.85546875" style="32" customWidth="1"/>
    <col min="2541" max="2541" width="10.85546875" style="32" customWidth="1"/>
    <col min="2542" max="2780" width="9.140625" style="32"/>
    <col min="2781" max="2781" width="1.85546875" style="32" customWidth="1"/>
    <col min="2782" max="2782" width="3.85546875" style="32" customWidth="1"/>
    <col min="2783" max="2783" width="8.5703125" style="32" customWidth="1"/>
    <col min="2784" max="2784" width="29.140625" style="32" customWidth="1"/>
    <col min="2785" max="2785" width="14.85546875" style="32" customWidth="1"/>
    <col min="2786" max="2786" width="8.140625" style="32" customWidth="1"/>
    <col min="2787" max="2787" width="7.140625" style="32" customWidth="1"/>
    <col min="2788" max="2788" width="7.85546875" style="32" customWidth="1"/>
    <col min="2789" max="2789" width="9.42578125" style="32" bestFit="1" customWidth="1"/>
    <col min="2790" max="2790" width="10.85546875" style="32" bestFit="1" customWidth="1"/>
    <col min="2791" max="2791" width="8.5703125" style="32" customWidth="1"/>
    <col min="2792" max="2792" width="10.140625" style="32" customWidth="1"/>
    <col min="2793" max="2793" width="9.140625" style="32"/>
    <col min="2794" max="2794" width="12.140625" style="32" customWidth="1"/>
    <col min="2795" max="2795" width="10.140625" style="32" customWidth="1"/>
    <col min="2796" max="2796" width="9.85546875" style="32" customWidth="1"/>
    <col min="2797" max="2797" width="10.85546875" style="32" customWidth="1"/>
    <col min="2798" max="3036" width="9.140625" style="32"/>
    <col min="3037" max="3037" width="1.85546875" style="32" customWidth="1"/>
    <col min="3038" max="3038" width="3.85546875" style="32" customWidth="1"/>
    <col min="3039" max="3039" width="8.5703125" style="32" customWidth="1"/>
    <col min="3040" max="3040" width="29.140625" style="32" customWidth="1"/>
    <col min="3041" max="3041" width="14.85546875" style="32" customWidth="1"/>
    <col min="3042" max="3042" width="8.140625" style="32" customWidth="1"/>
    <col min="3043" max="3043" width="7.140625" style="32" customWidth="1"/>
    <col min="3044" max="3044" width="7.85546875" style="32" customWidth="1"/>
    <col min="3045" max="3045" width="9.42578125" style="32" bestFit="1" customWidth="1"/>
    <col min="3046" max="3046" width="10.85546875" style="32" bestFit="1" customWidth="1"/>
    <col min="3047" max="3047" width="8.5703125" style="32" customWidth="1"/>
    <col min="3048" max="3048" width="10.140625" style="32" customWidth="1"/>
    <col min="3049" max="3049" width="9.140625" style="32"/>
    <col min="3050" max="3050" width="12.140625" style="32" customWidth="1"/>
    <col min="3051" max="3051" width="10.140625" style="32" customWidth="1"/>
    <col min="3052" max="3052" width="9.85546875" style="32" customWidth="1"/>
    <col min="3053" max="3053" width="10.85546875" style="32" customWidth="1"/>
    <col min="3054" max="3292" width="9.140625" style="32"/>
    <col min="3293" max="3293" width="1.85546875" style="32" customWidth="1"/>
    <col min="3294" max="3294" width="3.85546875" style="32" customWidth="1"/>
    <col min="3295" max="3295" width="8.5703125" style="32" customWidth="1"/>
    <col min="3296" max="3296" width="29.140625" style="32" customWidth="1"/>
    <col min="3297" max="3297" width="14.85546875" style="32" customWidth="1"/>
    <col min="3298" max="3298" width="8.140625" style="32" customWidth="1"/>
    <col min="3299" max="3299" width="7.140625" style="32" customWidth="1"/>
    <col min="3300" max="3300" width="7.85546875" style="32" customWidth="1"/>
    <col min="3301" max="3301" width="9.42578125" style="32" bestFit="1" customWidth="1"/>
    <col min="3302" max="3302" width="10.85546875" style="32" bestFit="1" customWidth="1"/>
    <col min="3303" max="3303" width="8.5703125" style="32" customWidth="1"/>
    <col min="3304" max="3304" width="10.140625" style="32" customWidth="1"/>
    <col min="3305" max="3305" width="9.140625" style="32"/>
    <col min="3306" max="3306" width="12.140625" style="32" customWidth="1"/>
    <col min="3307" max="3307" width="10.140625" style="32" customWidth="1"/>
    <col min="3308" max="3308" width="9.85546875" style="32" customWidth="1"/>
    <col min="3309" max="3309" width="10.85546875" style="32" customWidth="1"/>
    <col min="3310" max="3548" width="9.140625" style="32"/>
    <col min="3549" max="3549" width="1.85546875" style="32" customWidth="1"/>
    <col min="3550" max="3550" width="3.85546875" style="32" customWidth="1"/>
    <col min="3551" max="3551" width="8.5703125" style="32" customWidth="1"/>
    <col min="3552" max="3552" width="29.140625" style="32" customWidth="1"/>
    <col min="3553" max="3553" width="14.85546875" style="32" customWidth="1"/>
    <col min="3554" max="3554" width="8.140625" style="32" customWidth="1"/>
    <col min="3555" max="3555" width="7.140625" style="32" customWidth="1"/>
    <col min="3556" max="3556" width="7.85546875" style="32" customWidth="1"/>
    <col min="3557" max="3557" width="9.42578125" style="32" bestFit="1" customWidth="1"/>
    <col min="3558" max="3558" width="10.85546875" style="32" bestFit="1" customWidth="1"/>
    <col min="3559" max="3559" width="8.5703125" style="32" customWidth="1"/>
    <col min="3560" max="3560" width="10.140625" style="32" customWidth="1"/>
    <col min="3561" max="3561" width="9.140625" style="32"/>
    <col min="3562" max="3562" width="12.140625" style="32" customWidth="1"/>
    <col min="3563" max="3563" width="10.140625" style="32" customWidth="1"/>
    <col min="3564" max="3564" width="9.85546875" style="32" customWidth="1"/>
    <col min="3565" max="3565" width="10.85546875" style="32" customWidth="1"/>
    <col min="3566" max="3804" width="9.140625" style="32"/>
    <col min="3805" max="3805" width="1.85546875" style="32" customWidth="1"/>
    <col min="3806" max="3806" width="3.85546875" style="32" customWidth="1"/>
    <col min="3807" max="3807" width="8.5703125" style="32" customWidth="1"/>
    <col min="3808" max="3808" width="29.140625" style="32" customWidth="1"/>
    <col min="3809" max="3809" width="14.85546875" style="32" customWidth="1"/>
    <col min="3810" max="3810" width="8.140625" style="32" customWidth="1"/>
    <col min="3811" max="3811" width="7.140625" style="32" customWidth="1"/>
    <col min="3812" max="3812" width="7.85546875" style="32" customWidth="1"/>
    <col min="3813" max="3813" width="9.42578125" style="32" bestFit="1" customWidth="1"/>
    <col min="3814" max="3814" width="10.85546875" style="32" bestFit="1" customWidth="1"/>
    <col min="3815" max="3815" width="8.5703125" style="32" customWidth="1"/>
    <col min="3816" max="3816" width="10.140625" style="32" customWidth="1"/>
    <col min="3817" max="3817" width="9.140625" style="32"/>
    <col min="3818" max="3818" width="12.140625" style="32" customWidth="1"/>
    <col min="3819" max="3819" width="10.140625" style="32" customWidth="1"/>
    <col min="3820" max="3820" width="9.85546875" style="32" customWidth="1"/>
    <col min="3821" max="3821" width="10.85546875" style="32" customWidth="1"/>
    <col min="3822" max="4060" width="9.140625" style="32"/>
    <col min="4061" max="4061" width="1.85546875" style="32" customWidth="1"/>
    <col min="4062" max="4062" width="3.85546875" style="32" customWidth="1"/>
    <col min="4063" max="4063" width="8.5703125" style="32" customWidth="1"/>
    <col min="4064" max="4064" width="29.140625" style="32" customWidth="1"/>
    <col min="4065" max="4065" width="14.85546875" style="32" customWidth="1"/>
    <col min="4066" max="4066" width="8.140625" style="32" customWidth="1"/>
    <col min="4067" max="4067" width="7.140625" style="32" customWidth="1"/>
    <col min="4068" max="4068" width="7.85546875" style="32" customWidth="1"/>
    <col min="4069" max="4069" width="9.42578125" style="32" bestFit="1" customWidth="1"/>
    <col min="4070" max="4070" width="10.85546875" style="32" bestFit="1" customWidth="1"/>
    <col min="4071" max="4071" width="8.5703125" style="32" customWidth="1"/>
    <col min="4072" max="4072" width="10.140625" style="32" customWidth="1"/>
    <col min="4073" max="4073" width="9.140625" style="32"/>
    <col min="4074" max="4074" width="12.140625" style="32" customWidth="1"/>
    <col min="4075" max="4075" width="10.140625" style="32" customWidth="1"/>
    <col min="4076" max="4076" width="9.85546875" style="32" customWidth="1"/>
    <col min="4077" max="4077" width="10.85546875" style="32" customWidth="1"/>
    <col min="4078" max="4316" width="9.140625" style="32"/>
    <col min="4317" max="4317" width="1.85546875" style="32" customWidth="1"/>
    <col min="4318" max="4318" width="3.85546875" style="32" customWidth="1"/>
    <col min="4319" max="4319" width="8.5703125" style="32" customWidth="1"/>
    <col min="4320" max="4320" width="29.140625" style="32" customWidth="1"/>
    <col min="4321" max="4321" width="14.85546875" style="32" customWidth="1"/>
    <col min="4322" max="4322" width="8.140625" style="32" customWidth="1"/>
    <col min="4323" max="4323" width="7.140625" style="32" customWidth="1"/>
    <col min="4324" max="4324" width="7.85546875" style="32" customWidth="1"/>
    <col min="4325" max="4325" width="9.42578125" style="32" bestFit="1" customWidth="1"/>
    <col min="4326" max="4326" width="10.85546875" style="32" bestFit="1" customWidth="1"/>
    <col min="4327" max="4327" width="8.5703125" style="32" customWidth="1"/>
    <col min="4328" max="4328" width="10.140625" style="32" customWidth="1"/>
    <col min="4329" max="4329" width="9.140625" style="32"/>
    <col min="4330" max="4330" width="12.140625" style="32" customWidth="1"/>
    <col min="4331" max="4331" width="10.140625" style="32" customWidth="1"/>
    <col min="4332" max="4332" width="9.85546875" style="32" customWidth="1"/>
    <col min="4333" max="4333" width="10.85546875" style="32" customWidth="1"/>
    <col min="4334" max="4572" width="9.140625" style="32"/>
    <col min="4573" max="4573" width="1.85546875" style="32" customWidth="1"/>
    <col min="4574" max="4574" width="3.85546875" style="32" customWidth="1"/>
    <col min="4575" max="4575" width="8.5703125" style="32" customWidth="1"/>
    <col min="4576" max="4576" width="29.140625" style="32" customWidth="1"/>
    <col min="4577" max="4577" width="14.85546875" style="32" customWidth="1"/>
    <col min="4578" max="4578" width="8.140625" style="32" customWidth="1"/>
    <col min="4579" max="4579" width="7.140625" style="32" customWidth="1"/>
    <col min="4580" max="4580" width="7.85546875" style="32" customWidth="1"/>
    <col min="4581" max="4581" width="9.42578125" style="32" bestFit="1" customWidth="1"/>
    <col min="4582" max="4582" width="10.85546875" style="32" bestFit="1" customWidth="1"/>
    <col min="4583" max="4583" width="8.5703125" style="32" customWidth="1"/>
    <col min="4584" max="4584" width="10.140625" style="32" customWidth="1"/>
    <col min="4585" max="4585" width="9.140625" style="32"/>
    <col min="4586" max="4586" width="12.140625" style="32" customWidth="1"/>
    <col min="4587" max="4587" width="10.140625" style="32" customWidth="1"/>
    <col min="4588" max="4588" width="9.85546875" style="32" customWidth="1"/>
    <col min="4589" max="4589" width="10.85546875" style="32" customWidth="1"/>
    <col min="4590" max="4828" width="9.140625" style="32"/>
    <col min="4829" max="4829" width="1.85546875" style="32" customWidth="1"/>
    <col min="4830" max="4830" width="3.85546875" style="32" customWidth="1"/>
    <col min="4831" max="4831" width="8.5703125" style="32" customWidth="1"/>
    <col min="4832" max="4832" width="29.140625" style="32" customWidth="1"/>
    <col min="4833" max="4833" width="14.85546875" style="32" customWidth="1"/>
    <col min="4834" max="4834" width="8.140625" style="32" customWidth="1"/>
    <col min="4835" max="4835" width="7.140625" style="32" customWidth="1"/>
    <col min="4836" max="4836" width="7.85546875" style="32" customWidth="1"/>
    <col min="4837" max="4837" width="9.42578125" style="32" bestFit="1" customWidth="1"/>
    <col min="4838" max="4838" width="10.85546875" style="32" bestFit="1" customWidth="1"/>
    <col min="4839" max="4839" width="8.5703125" style="32" customWidth="1"/>
    <col min="4840" max="4840" width="10.140625" style="32" customWidth="1"/>
    <col min="4841" max="4841" width="9.140625" style="32"/>
    <col min="4842" max="4842" width="12.140625" style="32" customWidth="1"/>
    <col min="4843" max="4843" width="10.140625" style="32" customWidth="1"/>
    <col min="4844" max="4844" width="9.85546875" style="32" customWidth="1"/>
    <col min="4845" max="4845" width="10.85546875" style="32" customWidth="1"/>
    <col min="4846" max="5084" width="9.140625" style="32"/>
    <col min="5085" max="5085" width="1.85546875" style="32" customWidth="1"/>
    <col min="5086" max="5086" width="3.85546875" style="32" customWidth="1"/>
    <col min="5087" max="5087" width="8.5703125" style="32" customWidth="1"/>
    <col min="5088" max="5088" width="29.140625" style="32" customWidth="1"/>
    <col min="5089" max="5089" width="14.85546875" style="32" customWidth="1"/>
    <col min="5090" max="5090" width="8.140625" style="32" customWidth="1"/>
    <col min="5091" max="5091" width="7.140625" style="32" customWidth="1"/>
    <col min="5092" max="5092" width="7.85546875" style="32" customWidth="1"/>
    <col min="5093" max="5093" width="9.42578125" style="32" bestFit="1" customWidth="1"/>
    <col min="5094" max="5094" width="10.85546875" style="32" bestFit="1" customWidth="1"/>
    <col min="5095" max="5095" width="8.5703125" style="32" customWidth="1"/>
    <col min="5096" max="5096" width="10.140625" style="32" customWidth="1"/>
    <col min="5097" max="5097" width="9.140625" style="32"/>
    <col min="5098" max="5098" width="12.140625" style="32" customWidth="1"/>
    <col min="5099" max="5099" width="10.140625" style="32" customWidth="1"/>
    <col min="5100" max="5100" width="9.85546875" style="32" customWidth="1"/>
    <col min="5101" max="5101" width="10.85546875" style="32" customWidth="1"/>
    <col min="5102" max="5340" width="9.140625" style="32"/>
    <col min="5341" max="5341" width="1.85546875" style="32" customWidth="1"/>
    <col min="5342" max="5342" width="3.85546875" style="32" customWidth="1"/>
    <col min="5343" max="5343" width="8.5703125" style="32" customWidth="1"/>
    <col min="5344" max="5344" width="29.140625" style="32" customWidth="1"/>
    <col min="5345" max="5345" width="14.85546875" style="32" customWidth="1"/>
    <col min="5346" max="5346" width="8.140625" style="32" customWidth="1"/>
    <col min="5347" max="5347" width="7.140625" style="32" customWidth="1"/>
    <col min="5348" max="5348" width="7.85546875" style="32" customWidth="1"/>
    <col min="5349" max="5349" width="9.42578125" style="32" bestFit="1" customWidth="1"/>
    <col min="5350" max="5350" width="10.85546875" style="32" bestFit="1" customWidth="1"/>
    <col min="5351" max="5351" width="8.5703125" style="32" customWidth="1"/>
    <col min="5352" max="5352" width="10.140625" style="32" customWidth="1"/>
    <col min="5353" max="5353" width="9.140625" style="32"/>
    <col min="5354" max="5354" width="12.140625" style="32" customWidth="1"/>
    <col min="5355" max="5355" width="10.140625" style="32" customWidth="1"/>
    <col min="5356" max="5356" width="9.85546875" style="32" customWidth="1"/>
    <col min="5357" max="5357" width="10.85546875" style="32" customWidth="1"/>
    <col min="5358" max="5596" width="9.140625" style="32"/>
    <col min="5597" max="5597" width="1.85546875" style="32" customWidth="1"/>
    <col min="5598" max="5598" width="3.85546875" style="32" customWidth="1"/>
    <col min="5599" max="5599" width="8.5703125" style="32" customWidth="1"/>
    <col min="5600" max="5600" width="29.140625" style="32" customWidth="1"/>
    <col min="5601" max="5601" width="14.85546875" style="32" customWidth="1"/>
    <col min="5602" max="5602" width="8.140625" style="32" customWidth="1"/>
    <col min="5603" max="5603" width="7.140625" style="32" customWidth="1"/>
    <col min="5604" max="5604" width="7.85546875" style="32" customWidth="1"/>
    <col min="5605" max="5605" width="9.42578125" style="32" bestFit="1" customWidth="1"/>
    <col min="5606" max="5606" width="10.85546875" style="32" bestFit="1" customWidth="1"/>
    <col min="5607" max="5607" width="8.5703125" style="32" customWidth="1"/>
    <col min="5608" max="5608" width="10.140625" style="32" customWidth="1"/>
    <col min="5609" max="5609" width="9.140625" style="32"/>
    <col min="5610" max="5610" width="12.140625" style="32" customWidth="1"/>
    <col min="5611" max="5611" width="10.140625" style="32" customWidth="1"/>
    <col min="5612" max="5612" width="9.85546875" style="32" customWidth="1"/>
    <col min="5613" max="5613" width="10.85546875" style="32" customWidth="1"/>
    <col min="5614" max="5852" width="9.140625" style="32"/>
    <col min="5853" max="5853" width="1.85546875" style="32" customWidth="1"/>
    <col min="5854" max="5854" width="3.85546875" style="32" customWidth="1"/>
    <col min="5855" max="5855" width="8.5703125" style="32" customWidth="1"/>
    <col min="5856" max="5856" width="29.140625" style="32" customWidth="1"/>
    <col min="5857" max="5857" width="14.85546875" style="32" customWidth="1"/>
    <col min="5858" max="5858" width="8.140625" style="32" customWidth="1"/>
    <col min="5859" max="5859" width="7.140625" style="32" customWidth="1"/>
    <col min="5860" max="5860" width="7.85546875" style="32" customWidth="1"/>
    <col min="5861" max="5861" width="9.42578125" style="32" bestFit="1" customWidth="1"/>
    <col min="5862" max="5862" width="10.85546875" style="32" bestFit="1" customWidth="1"/>
    <col min="5863" max="5863" width="8.5703125" style="32" customWidth="1"/>
    <col min="5864" max="5864" width="10.140625" style="32" customWidth="1"/>
    <col min="5865" max="5865" width="9.140625" style="32"/>
    <col min="5866" max="5866" width="12.140625" style="32" customWidth="1"/>
    <col min="5867" max="5867" width="10.140625" style="32" customWidth="1"/>
    <col min="5868" max="5868" width="9.85546875" style="32" customWidth="1"/>
    <col min="5869" max="5869" width="10.85546875" style="32" customWidth="1"/>
    <col min="5870" max="6108" width="9.140625" style="32"/>
    <col min="6109" max="6109" width="1.85546875" style="32" customWidth="1"/>
    <col min="6110" max="6110" width="3.85546875" style="32" customWidth="1"/>
    <col min="6111" max="6111" width="8.5703125" style="32" customWidth="1"/>
    <col min="6112" max="6112" width="29.140625" style="32" customWidth="1"/>
    <col min="6113" max="6113" width="14.85546875" style="32" customWidth="1"/>
    <col min="6114" max="6114" width="8.140625" style="32" customWidth="1"/>
    <col min="6115" max="6115" width="7.140625" style="32" customWidth="1"/>
    <col min="6116" max="6116" width="7.85546875" style="32" customWidth="1"/>
    <col min="6117" max="6117" width="9.42578125" style="32" bestFit="1" customWidth="1"/>
    <col min="6118" max="6118" width="10.85546875" style="32" bestFit="1" customWidth="1"/>
    <col min="6119" max="6119" width="8.5703125" style="32" customWidth="1"/>
    <col min="6120" max="6120" width="10.140625" style="32" customWidth="1"/>
    <col min="6121" max="6121" width="9.140625" style="32"/>
    <col min="6122" max="6122" width="12.140625" style="32" customWidth="1"/>
    <col min="6123" max="6123" width="10.140625" style="32" customWidth="1"/>
    <col min="6124" max="6124" width="9.85546875" style="32" customWidth="1"/>
    <col min="6125" max="6125" width="10.85546875" style="32" customWidth="1"/>
    <col min="6126" max="6364" width="9.140625" style="32"/>
    <col min="6365" max="6365" width="1.85546875" style="32" customWidth="1"/>
    <col min="6366" max="6366" width="3.85546875" style="32" customWidth="1"/>
    <col min="6367" max="6367" width="8.5703125" style="32" customWidth="1"/>
    <col min="6368" max="6368" width="29.140625" style="32" customWidth="1"/>
    <col min="6369" max="6369" width="14.85546875" style="32" customWidth="1"/>
    <col min="6370" max="6370" width="8.140625" style="32" customWidth="1"/>
    <col min="6371" max="6371" width="7.140625" style="32" customWidth="1"/>
    <col min="6372" max="6372" width="7.85546875" style="32" customWidth="1"/>
    <col min="6373" max="6373" width="9.42578125" style="32" bestFit="1" customWidth="1"/>
    <col min="6374" max="6374" width="10.85546875" style="32" bestFit="1" customWidth="1"/>
    <col min="6375" max="6375" width="8.5703125" style="32" customWidth="1"/>
    <col min="6376" max="6376" width="10.140625" style="32" customWidth="1"/>
    <col min="6377" max="6377" width="9.140625" style="32"/>
    <col min="6378" max="6378" width="12.140625" style="32" customWidth="1"/>
    <col min="6379" max="6379" width="10.140625" style="32" customWidth="1"/>
    <col min="6380" max="6380" width="9.85546875" style="32" customWidth="1"/>
    <col min="6381" max="6381" width="10.85546875" style="32" customWidth="1"/>
    <col min="6382" max="6620" width="9.140625" style="32"/>
    <col min="6621" max="6621" width="1.85546875" style="32" customWidth="1"/>
    <col min="6622" max="6622" width="3.85546875" style="32" customWidth="1"/>
    <col min="6623" max="6623" width="8.5703125" style="32" customWidth="1"/>
    <col min="6624" max="6624" width="29.140625" style="32" customWidth="1"/>
    <col min="6625" max="6625" width="14.85546875" style="32" customWidth="1"/>
    <col min="6626" max="6626" width="8.140625" style="32" customWidth="1"/>
    <col min="6627" max="6627" width="7.140625" style="32" customWidth="1"/>
    <col min="6628" max="6628" width="7.85546875" style="32" customWidth="1"/>
    <col min="6629" max="6629" width="9.42578125" style="32" bestFit="1" customWidth="1"/>
    <col min="6630" max="6630" width="10.85546875" style="32" bestFit="1" customWidth="1"/>
    <col min="6631" max="6631" width="8.5703125" style="32" customWidth="1"/>
    <col min="6632" max="6632" width="10.140625" style="32" customWidth="1"/>
    <col min="6633" max="6633" width="9.140625" style="32"/>
    <col min="6634" max="6634" width="12.140625" style="32" customWidth="1"/>
    <col min="6635" max="6635" width="10.140625" style="32" customWidth="1"/>
    <col min="6636" max="6636" width="9.85546875" style="32" customWidth="1"/>
    <col min="6637" max="6637" width="10.85546875" style="32" customWidth="1"/>
    <col min="6638" max="6876" width="9.140625" style="32"/>
    <col min="6877" max="6877" width="1.85546875" style="32" customWidth="1"/>
    <col min="6878" max="6878" width="3.85546875" style="32" customWidth="1"/>
    <col min="6879" max="6879" width="8.5703125" style="32" customWidth="1"/>
    <col min="6880" max="6880" width="29.140625" style="32" customWidth="1"/>
    <col min="6881" max="6881" width="14.85546875" style="32" customWidth="1"/>
    <col min="6882" max="6882" width="8.140625" style="32" customWidth="1"/>
    <col min="6883" max="6883" width="7.140625" style="32" customWidth="1"/>
    <col min="6884" max="6884" width="7.85546875" style="32" customWidth="1"/>
    <col min="6885" max="6885" width="9.42578125" style="32" bestFit="1" customWidth="1"/>
    <col min="6886" max="6886" width="10.85546875" style="32" bestFit="1" customWidth="1"/>
    <col min="6887" max="6887" width="8.5703125" style="32" customWidth="1"/>
    <col min="6888" max="6888" width="10.140625" style="32" customWidth="1"/>
    <col min="6889" max="6889" width="9.140625" style="32"/>
    <col min="6890" max="6890" width="12.140625" style="32" customWidth="1"/>
    <col min="6891" max="6891" width="10.140625" style="32" customWidth="1"/>
    <col min="6892" max="6892" width="9.85546875" style="32" customWidth="1"/>
    <col min="6893" max="6893" width="10.85546875" style="32" customWidth="1"/>
    <col min="6894" max="7132" width="9.140625" style="32"/>
    <col min="7133" max="7133" width="1.85546875" style="32" customWidth="1"/>
    <col min="7134" max="7134" width="3.85546875" style="32" customWidth="1"/>
    <col min="7135" max="7135" width="8.5703125" style="32" customWidth="1"/>
    <col min="7136" max="7136" width="29.140625" style="32" customWidth="1"/>
    <col min="7137" max="7137" width="14.85546875" style="32" customWidth="1"/>
    <col min="7138" max="7138" width="8.140625" style="32" customWidth="1"/>
    <col min="7139" max="7139" width="7.140625" style="32" customWidth="1"/>
    <col min="7140" max="7140" width="7.85546875" style="32" customWidth="1"/>
    <col min="7141" max="7141" width="9.42578125" style="32" bestFit="1" customWidth="1"/>
    <col min="7142" max="7142" width="10.85546875" style="32" bestFit="1" customWidth="1"/>
    <col min="7143" max="7143" width="8.5703125" style="32" customWidth="1"/>
    <col min="7144" max="7144" width="10.140625" style="32" customWidth="1"/>
    <col min="7145" max="7145" width="9.140625" style="32"/>
    <col min="7146" max="7146" width="12.140625" style="32" customWidth="1"/>
    <col min="7147" max="7147" width="10.140625" style="32" customWidth="1"/>
    <col min="7148" max="7148" width="9.85546875" style="32" customWidth="1"/>
    <col min="7149" max="7149" width="10.85546875" style="32" customWidth="1"/>
    <col min="7150" max="7388" width="9.140625" style="32"/>
    <col min="7389" max="7389" width="1.85546875" style="32" customWidth="1"/>
    <col min="7390" max="7390" width="3.85546875" style="32" customWidth="1"/>
    <col min="7391" max="7391" width="8.5703125" style="32" customWidth="1"/>
    <col min="7392" max="7392" width="29.140625" style="32" customWidth="1"/>
    <col min="7393" max="7393" width="14.85546875" style="32" customWidth="1"/>
    <col min="7394" max="7394" width="8.140625" style="32" customWidth="1"/>
    <col min="7395" max="7395" width="7.140625" style="32" customWidth="1"/>
    <col min="7396" max="7396" width="7.85546875" style="32" customWidth="1"/>
    <col min="7397" max="7397" width="9.42578125" style="32" bestFit="1" customWidth="1"/>
    <col min="7398" max="7398" width="10.85546875" style="32" bestFit="1" customWidth="1"/>
    <col min="7399" max="7399" width="8.5703125" style="32" customWidth="1"/>
    <col min="7400" max="7400" width="10.140625" style="32" customWidth="1"/>
    <col min="7401" max="7401" width="9.140625" style="32"/>
    <col min="7402" max="7402" width="12.140625" style="32" customWidth="1"/>
    <col min="7403" max="7403" width="10.140625" style="32" customWidth="1"/>
    <col min="7404" max="7404" width="9.85546875" style="32" customWidth="1"/>
    <col min="7405" max="7405" width="10.85546875" style="32" customWidth="1"/>
    <col min="7406" max="7644" width="9.140625" style="32"/>
    <col min="7645" max="7645" width="1.85546875" style="32" customWidth="1"/>
    <col min="7646" max="7646" width="3.85546875" style="32" customWidth="1"/>
    <col min="7647" max="7647" width="8.5703125" style="32" customWidth="1"/>
    <col min="7648" max="7648" width="29.140625" style="32" customWidth="1"/>
    <col min="7649" max="7649" width="14.85546875" style="32" customWidth="1"/>
    <col min="7650" max="7650" width="8.140625" style="32" customWidth="1"/>
    <col min="7651" max="7651" width="7.140625" style="32" customWidth="1"/>
    <col min="7652" max="7652" width="7.85546875" style="32" customWidth="1"/>
    <col min="7653" max="7653" width="9.42578125" style="32" bestFit="1" customWidth="1"/>
    <col min="7654" max="7654" width="10.85546875" style="32" bestFit="1" customWidth="1"/>
    <col min="7655" max="7655" width="8.5703125" style="32" customWidth="1"/>
    <col min="7656" max="7656" width="10.140625" style="32" customWidth="1"/>
    <col min="7657" max="7657" width="9.140625" style="32"/>
    <col min="7658" max="7658" width="12.140625" style="32" customWidth="1"/>
    <col min="7659" max="7659" width="10.140625" style="32" customWidth="1"/>
    <col min="7660" max="7660" width="9.85546875" style="32" customWidth="1"/>
    <col min="7661" max="7661" width="10.85546875" style="32" customWidth="1"/>
    <col min="7662" max="7900" width="9.140625" style="32"/>
    <col min="7901" max="7901" width="1.85546875" style="32" customWidth="1"/>
    <col min="7902" max="7902" width="3.85546875" style="32" customWidth="1"/>
    <col min="7903" max="7903" width="8.5703125" style="32" customWidth="1"/>
    <col min="7904" max="7904" width="29.140625" style="32" customWidth="1"/>
    <col min="7905" max="7905" width="14.85546875" style="32" customWidth="1"/>
    <col min="7906" max="7906" width="8.140625" style="32" customWidth="1"/>
    <col min="7907" max="7907" width="7.140625" style="32" customWidth="1"/>
    <col min="7908" max="7908" width="7.85546875" style="32" customWidth="1"/>
    <col min="7909" max="7909" width="9.42578125" style="32" bestFit="1" customWidth="1"/>
    <col min="7910" max="7910" width="10.85546875" style="32" bestFit="1" customWidth="1"/>
    <col min="7911" max="7911" width="8.5703125" style="32" customWidth="1"/>
    <col min="7912" max="7912" width="10.140625" style="32" customWidth="1"/>
    <col min="7913" max="7913" width="9.140625" style="32"/>
    <col min="7914" max="7914" width="12.140625" style="32" customWidth="1"/>
    <col min="7915" max="7915" width="10.140625" style="32" customWidth="1"/>
    <col min="7916" max="7916" width="9.85546875" style="32" customWidth="1"/>
    <col min="7917" max="7917" width="10.85546875" style="32" customWidth="1"/>
    <col min="7918" max="8156" width="9.140625" style="32"/>
    <col min="8157" max="8157" width="1.85546875" style="32" customWidth="1"/>
    <col min="8158" max="8158" width="3.85546875" style="32" customWidth="1"/>
    <col min="8159" max="8159" width="8.5703125" style="32" customWidth="1"/>
    <col min="8160" max="8160" width="29.140625" style="32" customWidth="1"/>
    <col min="8161" max="8161" width="14.85546875" style="32" customWidth="1"/>
    <col min="8162" max="8162" width="8.140625" style="32" customWidth="1"/>
    <col min="8163" max="8163" width="7.140625" style="32" customWidth="1"/>
    <col min="8164" max="8164" width="7.85546875" style="32" customWidth="1"/>
    <col min="8165" max="8165" width="9.42578125" style="32" bestFit="1" customWidth="1"/>
    <col min="8166" max="8166" width="10.85546875" style="32" bestFit="1" customWidth="1"/>
    <col min="8167" max="8167" width="8.5703125" style="32" customWidth="1"/>
    <col min="8168" max="8168" width="10.140625" style="32" customWidth="1"/>
    <col min="8169" max="8169" width="9.140625" style="32"/>
    <col min="8170" max="8170" width="12.140625" style="32" customWidth="1"/>
    <col min="8171" max="8171" width="10.140625" style="32" customWidth="1"/>
    <col min="8172" max="8172" width="9.85546875" style="32" customWidth="1"/>
    <col min="8173" max="8173" width="10.85546875" style="32" customWidth="1"/>
    <col min="8174" max="8412" width="9.140625" style="32"/>
    <col min="8413" max="8413" width="1.85546875" style="32" customWidth="1"/>
    <col min="8414" max="8414" width="3.85546875" style="32" customWidth="1"/>
    <col min="8415" max="8415" width="8.5703125" style="32" customWidth="1"/>
    <col min="8416" max="8416" width="29.140625" style="32" customWidth="1"/>
    <col min="8417" max="8417" width="14.85546875" style="32" customWidth="1"/>
    <col min="8418" max="8418" width="8.140625" style="32" customWidth="1"/>
    <col min="8419" max="8419" width="7.140625" style="32" customWidth="1"/>
    <col min="8420" max="8420" width="7.85546875" style="32" customWidth="1"/>
    <col min="8421" max="8421" width="9.42578125" style="32" bestFit="1" customWidth="1"/>
    <col min="8422" max="8422" width="10.85546875" style="32" bestFit="1" customWidth="1"/>
    <col min="8423" max="8423" width="8.5703125" style="32" customWidth="1"/>
    <col min="8424" max="8424" width="10.140625" style="32" customWidth="1"/>
    <col min="8425" max="8425" width="9.140625" style="32"/>
    <col min="8426" max="8426" width="12.140625" style="32" customWidth="1"/>
    <col min="8427" max="8427" width="10.140625" style="32" customWidth="1"/>
    <col min="8428" max="8428" width="9.85546875" style="32" customWidth="1"/>
    <col min="8429" max="8429" width="10.85546875" style="32" customWidth="1"/>
    <col min="8430" max="8668" width="9.140625" style="32"/>
    <col min="8669" max="8669" width="1.85546875" style="32" customWidth="1"/>
    <col min="8670" max="8670" width="3.85546875" style="32" customWidth="1"/>
    <col min="8671" max="8671" width="8.5703125" style="32" customWidth="1"/>
    <col min="8672" max="8672" width="29.140625" style="32" customWidth="1"/>
    <col min="8673" max="8673" width="14.85546875" style="32" customWidth="1"/>
    <col min="8674" max="8674" width="8.140625" style="32" customWidth="1"/>
    <col min="8675" max="8675" width="7.140625" style="32" customWidth="1"/>
    <col min="8676" max="8676" width="7.85546875" style="32" customWidth="1"/>
    <col min="8677" max="8677" width="9.42578125" style="32" bestFit="1" customWidth="1"/>
    <col min="8678" max="8678" width="10.85546875" style="32" bestFit="1" customWidth="1"/>
    <col min="8679" max="8679" width="8.5703125" style="32" customWidth="1"/>
    <col min="8680" max="8680" width="10.140625" style="32" customWidth="1"/>
    <col min="8681" max="8681" width="9.140625" style="32"/>
    <col min="8682" max="8682" width="12.140625" style="32" customWidth="1"/>
    <col min="8683" max="8683" width="10.140625" style="32" customWidth="1"/>
    <col min="8684" max="8684" width="9.85546875" style="32" customWidth="1"/>
    <col min="8685" max="8685" width="10.85546875" style="32" customWidth="1"/>
    <col min="8686" max="8924" width="9.140625" style="32"/>
    <col min="8925" max="8925" width="1.85546875" style="32" customWidth="1"/>
    <col min="8926" max="8926" width="3.85546875" style="32" customWidth="1"/>
    <col min="8927" max="8927" width="8.5703125" style="32" customWidth="1"/>
    <col min="8928" max="8928" width="29.140625" style="32" customWidth="1"/>
    <col min="8929" max="8929" width="14.85546875" style="32" customWidth="1"/>
    <col min="8930" max="8930" width="8.140625" style="32" customWidth="1"/>
    <col min="8931" max="8931" width="7.140625" style="32" customWidth="1"/>
    <col min="8932" max="8932" width="7.85546875" style="32" customWidth="1"/>
    <col min="8933" max="8933" width="9.42578125" style="32" bestFit="1" customWidth="1"/>
    <col min="8934" max="8934" width="10.85546875" style="32" bestFit="1" customWidth="1"/>
    <col min="8935" max="8935" width="8.5703125" style="32" customWidth="1"/>
    <col min="8936" max="8936" width="10.140625" style="32" customWidth="1"/>
    <col min="8937" max="8937" width="9.140625" style="32"/>
    <col min="8938" max="8938" width="12.140625" style="32" customWidth="1"/>
    <col min="8939" max="8939" width="10.140625" style="32" customWidth="1"/>
    <col min="8940" max="8940" width="9.85546875" style="32" customWidth="1"/>
    <col min="8941" max="8941" width="10.85546875" style="32" customWidth="1"/>
    <col min="8942" max="9180" width="9.140625" style="32"/>
    <col min="9181" max="9181" width="1.85546875" style="32" customWidth="1"/>
    <col min="9182" max="9182" width="3.85546875" style="32" customWidth="1"/>
    <col min="9183" max="9183" width="8.5703125" style="32" customWidth="1"/>
    <col min="9184" max="9184" width="29.140625" style="32" customWidth="1"/>
    <col min="9185" max="9185" width="14.85546875" style="32" customWidth="1"/>
    <col min="9186" max="9186" width="8.140625" style="32" customWidth="1"/>
    <col min="9187" max="9187" width="7.140625" style="32" customWidth="1"/>
    <col min="9188" max="9188" width="7.85546875" style="32" customWidth="1"/>
    <col min="9189" max="9189" width="9.42578125" style="32" bestFit="1" customWidth="1"/>
    <col min="9190" max="9190" width="10.85546875" style="32" bestFit="1" customWidth="1"/>
    <col min="9191" max="9191" width="8.5703125" style="32" customWidth="1"/>
    <col min="9192" max="9192" width="10.140625" style="32" customWidth="1"/>
    <col min="9193" max="9193" width="9.140625" style="32"/>
    <col min="9194" max="9194" width="12.140625" style="32" customWidth="1"/>
    <col min="9195" max="9195" width="10.140625" style="32" customWidth="1"/>
    <col min="9196" max="9196" width="9.85546875" style="32" customWidth="1"/>
    <col min="9197" max="9197" width="10.85546875" style="32" customWidth="1"/>
    <col min="9198" max="9436" width="9.140625" style="32"/>
    <col min="9437" max="9437" width="1.85546875" style="32" customWidth="1"/>
    <col min="9438" max="9438" width="3.85546875" style="32" customWidth="1"/>
    <col min="9439" max="9439" width="8.5703125" style="32" customWidth="1"/>
    <col min="9440" max="9440" width="29.140625" style="32" customWidth="1"/>
    <col min="9441" max="9441" width="14.85546875" style="32" customWidth="1"/>
    <col min="9442" max="9442" width="8.140625" style="32" customWidth="1"/>
    <col min="9443" max="9443" width="7.140625" style="32" customWidth="1"/>
    <col min="9444" max="9444" width="7.85546875" style="32" customWidth="1"/>
    <col min="9445" max="9445" width="9.42578125" style="32" bestFit="1" customWidth="1"/>
    <col min="9446" max="9446" width="10.85546875" style="32" bestFit="1" customWidth="1"/>
    <col min="9447" max="9447" width="8.5703125" style="32" customWidth="1"/>
    <col min="9448" max="9448" width="10.140625" style="32" customWidth="1"/>
    <col min="9449" max="9449" width="9.140625" style="32"/>
    <col min="9450" max="9450" width="12.140625" style="32" customWidth="1"/>
    <col min="9451" max="9451" width="10.140625" style="32" customWidth="1"/>
    <col min="9452" max="9452" width="9.85546875" style="32" customWidth="1"/>
    <col min="9453" max="9453" width="10.85546875" style="32" customWidth="1"/>
    <col min="9454" max="9692" width="9.140625" style="32"/>
    <col min="9693" max="9693" width="1.85546875" style="32" customWidth="1"/>
    <col min="9694" max="9694" width="3.85546875" style="32" customWidth="1"/>
    <col min="9695" max="9695" width="8.5703125" style="32" customWidth="1"/>
    <col min="9696" max="9696" width="29.140625" style="32" customWidth="1"/>
    <col min="9697" max="9697" width="14.85546875" style="32" customWidth="1"/>
    <col min="9698" max="9698" width="8.140625" style="32" customWidth="1"/>
    <col min="9699" max="9699" width="7.140625" style="32" customWidth="1"/>
    <col min="9700" max="9700" width="7.85546875" style="32" customWidth="1"/>
    <col min="9701" max="9701" width="9.42578125" style="32" bestFit="1" customWidth="1"/>
    <col min="9702" max="9702" width="10.85546875" style="32" bestFit="1" customWidth="1"/>
    <col min="9703" max="9703" width="8.5703125" style="32" customWidth="1"/>
    <col min="9704" max="9704" width="10.140625" style="32" customWidth="1"/>
    <col min="9705" max="9705" width="9.140625" style="32"/>
    <col min="9706" max="9706" width="12.140625" style="32" customWidth="1"/>
    <col min="9707" max="9707" width="10.140625" style="32" customWidth="1"/>
    <col min="9708" max="9708" width="9.85546875" style="32" customWidth="1"/>
    <col min="9709" max="9709" width="10.85546875" style="32" customWidth="1"/>
    <col min="9710" max="9948" width="9.140625" style="32"/>
    <col min="9949" max="9949" width="1.85546875" style="32" customWidth="1"/>
    <col min="9950" max="9950" width="3.85546875" style="32" customWidth="1"/>
    <col min="9951" max="9951" width="8.5703125" style="32" customWidth="1"/>
    <col min="9952" max="9952" width="29.140625" style="32" customWidth="1"/>
    <col min="9953" max="9953" width="14.85546875" style="32" customWidth="1"/>
    <col min="9954" max="9954" width="8.140625" style="32" customWidth="1"/>
    <col min="9955" max="9955" width="7.140625" style="32" customWidth="1"/>
    <col min="9956" max="9956" width="7.85546875" style="32" customWidth="1"/>
    <col min="9957" max="9957" width="9.42578125" style="32" bestFit="1" customWidth="1"/>
    <col min="9958" max="9958" width="10.85546875" style="32" bestFit="1" customWidth="1"/>
    <col min="9959" max="9959" width="8.5703125" style="32" customWidth="1"/>
    <col min="9960" max="9960" width="10.140625" style="32" customWidth="1"/>
    <col min="9961" max="9961" width="9.140625" style="32"/>
    <col min="9962" max="9962" width="12.140625" style="32" customWidth="1"/>
    <col min="9963" max="9963" width="10.140625" style="32" customWidth="1"/>
    <col min="9964" max="9964" width="9.85546875" style="32" customWidth="1"/>
    <col min="9965" max="9965" width="10.85546875" style="32" customWidth="1"/>
    <col min="9966" max="10204" width="9.140625" style="32"/>
    <col min="10205" max="10205" width="1.85546875" style="32" customWidth="1"/>
    <col min="10206" max="10206" width="3.85546875" style="32" customWidth="1"/>
    <col min="10207" max="10207" width="8.5703125" style="32" customWidth="1"/>
    <col min="10208" max="10208" width="29.140625" style="32" customWidth="1"/>
    <col min="10209" max="10209" width="14.85546875" style="32" customWidth="1"/>
    <col min="10210" max="10210" width="8.140625" style="32" customWidth="1"/>
    <col min="10211" max="10211" width="7.140625" style="32" customWidth="1"/>
    <col min="10212" max="10212" width="7.85546875" style="32" customWidth="1"/>
    <col min="10213" max="10213" width="9.42578125" style="32" bestFit="1" customWidth="1"/>
    <col min="10214" max="10214" width="10.85546875" style="32" bestFit="1" customWidth="1"/>
    <col min="10215" max="10215" width="8.5703125" style="32" customWidth="1"/>
    <col min="10216" max="10216" width="10.140625" style="32" customWidth="1"/>
    <col min="10217" max="10217" width="9.140625" style="32"/>
    <col min="10218" max="10218" width="12.140625" style="32" customWidth="1"/>
    <col min="10219" max="10219" width="10.140625" style="32" customWidth="1"/>
    <col min="10220" max="10220" width="9.85546875" style="32" customWidth="1"/>
    <col min="10221" max="10221" width="10.85546875" style="32" customWidth="1"/>
    <col min="10222" max="10460" width="9.140625" style="32"/>
    <col min="10461" max="10461" width="1.85546875" style="32" customWidth="1"/>
    <col min="10462" max="10462" width="3.85546875" style="32" customWidth="1"/>
    <col min="10463" max="10463" width="8.5703125" style="32" customWidth="1"/>
    <col min="10464" max="10464" width="29.140625" style="32" customWidth="1"/>
    <col min="10465" max="10465" width="14.85546875" style="32" customWidth="1"/>
    <col min="10466" max="10466" width="8.140625" style="32" customWidth="1"/>
    <col min="10467" max="10467" width="7.140625" style="32" customWidth="1"/>
    <col min="10468" max="10468" width="7.85546875" style="32" customWidth="1"/>
    <col min="10469" max="10469" width="9.42578125" style="32" bestFit="1" customWidth="1"/>
    <col min="10470" max="10470" width="10.85546875" style="32" bestFit="1" customWidth="1"/>
    <col min="10471" max="10471" width="8.5703125" style="32" customWidth="1"/>
    <col min="10472" max="10472" width="10.140625" style="32" customWidth="1"/>
    <col min="10473" max="10473" width="9.140625" style="32"/>
    <col min="10474" max="10474" width="12.140625" style="32" customWidth="1"/>
    <col min="10475" max="10475" width="10.140625" style="32" customWidth="1"/>
    <col min="10476" max="10476" width="9.85546875" style="32" customWidth="1"/>
    <col min="10477" max="10477" width="10.85546875" style="32" customWidth="1"/>
    <col min="10478" max="10716" width="9.140625" style="32"/>
    <col min="10717" max="10717" width="1.85546875" style="32" customWidth="1"/>
    <col min="10718" max="10718" width="3.85546875" style="32" customWidth="1"/>
    <col min="10719" max="10719" width="8.5703125" style="32" customWidth="1"/>
    <col min="10720" max="10720" width="29.140625" style="32" customWidth="1"/>
    <col min="10721" max="10721" width="14.85546875" style="32" customWidth="1"/>
    <col min="10722" max="10722" width="8.140625" style="32" customWidth="1"/>
    <col min="10723" max="10723" width="7.140625" style="32" customWidth="1"/>
    <col min="10724" max="10724" width="7.85546875" style="32" customWidth="1"/>
    <col min="10725" max="10725" width="9.42578125" style="32" bestFit="1" customWidth="1"/>
    <col min="10726" max="10726" width="10.85546875" style="32" bestFit="1" customWidth="1"/>
    <col min="10727" max="10727" width="8.5703125" style="32" customWidth="1"/>
    <col min="10728" max="10728" width="10.140625" style="32" customWidth="1"/>
    <col min="10729" max="10729" width="9.140625" style="32"/>
    <col min="10730" max="10730" width="12.140625" style="32" customWidth="1"/>
    <col min="10731" max="10731" width="10.140625" style="32" customWidth="1"/>
    <col min="10732" max="10732" width="9.85546875" style="32" customWidth="1"/>
    <col min="10733" max="10733" width="10.85546875" style="32" customWidth="1"/>
    <col min="10734" max="10972" width="9.140625" style="32"/>
    <col min="10973" max="10973" width="1.85546875" style="32" customWidth="1"/>
    <col min="10974" max="10974" width="3.85546875" style="32" customWidth="1"/>
    <col min="10975" max="10975" width="8.5703125" style="32" customWidth="1"/>
    <col min="10976" max="10976" width="29.140625" style="32" customWidth="1"/>
    <col min="10977" max="10977" width="14.85546875" style="32" customWidth="1"/>
    <col min="10978" max="10978" width="8.140625" style="32" customWidth="1"/>
    <col min="10979" max="10979" width="7.140625" style="32" customWidth="1"/>
    <col min="10980" max="10980" width="7.85546875" style="32" customWidth="1"/>
    <col min="10981" max="10981" width="9.42578125" style="32" bestFit="1" customWidth="1"/>
    <col min="10982" max="10982" width="10.85546875" style="32" bestFit="1" customWidth="1"/>
    <col min="10983" max="10983" width="8.5703125" style="32" customWidth="1"/>
    <col min="10984" max="10984" width="10.140625" style="32" customWidth="1"/>
    <col min="10985" max="10985" width="9.140625" style="32"/>
    <col min="10986" max="10986" width="12.140625" style="32" customWidth="1"/>
    <col min="10987" max="10987" width="10.140625" style="32" customWidth="1"/>
    <col min="10988" max="10988" width="9.85546875" style="32" customWidth="1"/>
    <col min="10989" max="10989" width="10.85546875" style="32" customWidth="1"/>
    <col min="10990" max="11228" width="9.140625" style="32"/>
    <col min="11229" max="11229" width="1.85546875" style="32" customWidth="1"/>
    <col min="11230" max="11230" width="3.85546875" style="32" customWidth="1"/>
    <col min="11231" max="11231" width="8.5703125" style="32" customWidth="1"/>
    <col min="11232" max="11232" width="29.140625" style="32" customWidth="1"/>
    <col min="11233" max="11233" width="14.85546875" style="32" customWidth="1"/>
    <col min="11234" max="11234" width="8.140625" style="32" customWidth="1"/>
    <col min="11235" max="11235" width="7.140625" style="32" customWidth="1"/>
    <col min="11236" max="11236" width="7.85546875" style="32" customWidth="1"/>
    <col min="11237" max="11237" width="9.42578125" style="32" bestFit="1" customWidth="1"/>
    <col min="11238" max="11238" width="10.85546875" style="32" bestFit="1" customWidth="1"/>
    <col min="11239" max="11239" width="8.5703125" style="32" customWidth="1"/>
    <col min="11240" max="11240" width="10.140625" style="32" customWidth="1"/>
    <col min="11241" max="11241" width="9.140625" style="32"/>
    <col min="11242" max="11242" width="12.140625" style="32" customWidth="1"/>
    <col min="11243" max="11243" width="10.140625" style="32" customWidth="1"/>
    <col min="11244" max="11244" width="9.85546875" style="32" customWidth="1"/>
    <col min="11245" max="11245" width="10.85546875" style="32" customWidth="1"/>
    <col min="11246" max="11484" width="9.140625" style="32"/>
    <col min="11485" max="11485" width="1.85546875" style="32" customWidth="1"/>
    <col min="11486" max="11486" width="3.85546875" style="32" customWidth="1"/>
    <col min="11487" max="11487" width="8.5703125" style="32" customWidth="1"/>
    <col min="11488" max="11488" width="29.140625" style="32" customWidth="1"/>
    <col min="11489" max="11489" width="14.85546875" style="32" customWidth="1"/>
    <col min="11490" max="11490" width="8.140625" style="32" customWidth="1"/>
    <col min="11491" max="11491" width="7.140625" style="32" customWidth="1"/>
    <col min="11492" max="11492" width="7.85546875" style="32" customWidth="1"/>
    <col min="11493" max="11493" width="9.42578125" style="32" bestFit="1" customWidth="1"/>
    <col min="11494" max="11494" width="10.85546875" style="32" bestFit="1" customWidth="1"/>
    <col min="11495" max="11495" width="8.5703125" style="32" customWidth="1"/>
    <col min="11496" max="11496" width="10.140625" style="32" customWidth="1"/>
    <col min="11497" max="11497" width="9.140625" style="32"/>
    <col min="11498" max="11498" width="12.140625" style="32" customWidth="1"/>
    <col min="11499" max="11499" width="10.140625" style="32" customWidth="1"/>
    <col min="11500" max="11500" width="9.85546875" style="32" customWidth="1"/>
    <col min="11501" max="11501" width="10.85546875" style="32" customWidth="1"/>
    <col min="11502" max="11740" width="9.140625" style="32"/>
    <col min="11741" max="11741" width="1.85546875" style="32" customWidth="1"/>
    <col min="11742" max="11742" width="3.85546875" style="32" customWidth="1"/>
    <col min="11743" max="11743" width="8.5703125" style="32" customWidth="1"/>
    <col min="11744" max="11744" width="29.140625" style="32" customWidth="1"/>
    <col min="11745" max="11745" width="14.85546875" style="32" customWidth="1"/>
    <col min="11746" max="11746" width="8.140625" style="32" customWidth="1"/>
    <col min="11747" max="11747" width="7.140625" style="32" customWidth="1"/>
    <col min="11748" max="11748" width="7.85546875" style="32" customWidth="1"/>
    <col min="11749" max="11749" width="9.42578125" style="32" bestFit="1" customWidth="1"/>
    <col min="11750" max="11750" width="10.85546875" style="32" bestFit="1" customWidth="1"/>
    <col min="11751" max="11751" width="8.5703125" style="32" customWidth="1"/>
    <col min="11752" max="11752" width="10.140625" style="32" customWidth="1"/>
    <col min="11753" max="11753" width="9.140625" style="32"/>
    <col min="11754" max="11754" width="12.140625" style="32" customWidth="1"/>
    <col min="11755" max="11755" width="10.140625" style="32" customWidth="1"/>
    <col min="11756" max="11756" width="9.85546875" style="32" customWidth="1"/>
    <col min="11757" max="11757" width="10.85546875" style="32" customWidth="1"/>
    <col min="11758" max="11996" width="9.140625" style="32"/>
    <col min="11997" max="11997" width="1.85546875" style="32" customWidth="1"/>
    <col min="11998" max="11998" width="3.85546875" style="32" customWidth="1"/>
    <col min="11999" max="11999" width="8.5703125" style="32" customWidth="1"/>
    <col min="12000" max="12000" width="29.140625" style="32" customWidth="1"/>
    <col min="12001" max="12001" width="14.85546875" style="32" customWidth="1"/>
    <col min="12002" max="12002" width="8.140625" style="32" customWidth="1"/>
    <col min="12003" max="12003" width="7.140625" style="32" customWidth="1"/>
    <col min="12004" max="12004" width="7.85546875" style="32" customWidth="1"/>
    <col min="12005" max="12005" width="9.42578125" style="32" bestFit="1" customWidth="1"/>
    <col min="12006" max="12006" width="10.85546875" style="32" bestFit="1" customWidth="1"/>
    <col min="12007" max="12007" width="8.5703125" style="32" customWidth="1"/>
    <col min="12008" max="12008" width="10.140625" style="32" customWidth="1"/>
    <col min="12009" max="12009" width="9.140625" style="32"/>
    <col min="12010" max="12010" width="12.140625" style="32" customWidth="1"/>
    <col min="12011" max="12011" width="10.140625" style="32" customWidth="1"/>
    <col min="12012" max="12012" width="9.85546875" style="32" customWidth="1"/>
    <col min="12013" max="12013" width="10.85546875" style="32" customWidth="1"/>
    <col min="12014" max="12252" width="9.140625" style="32"/>
    <col min="12253" max="12253" width="1.85546875" style="32" customWidth="1"/>
    <col min="12254" max="12254" width="3.85546875" style="32" customWidth="1"/>
    <col min="12255" max="12255" width="8.5703125" style="32" customWidth="1"/>
    <col min="12256" max="12256" width="29.140625" style="32" customWidth="1"/>
    <col min="12257" max="12257" width="14.85546875" style="32" customWidth="1"/>
    <col min="12258" max="12258" width="8.140625" style="32" customWidth="1"/>
    <col min="12259" max="12259" width="7.140625" style="32" customWidth="1"/>
    <col min="12260" max="12260" width="7.85546875" style="32" customWidth="1"/>
    <col min="12261" max="12261" width="9.42578125" style="32" bestFit="1" customWidth="1"/>
    <col min="12262" max="12262" width="10.85546875" style="32" bestFit="1" customWidth="1"/>
    <col min="12263" max="12263" width="8.5703125" style="32" customWidth="1"/>
    <col min="12264" max="12264" width="10.140625" style="32" customWidth="1"/>
    <col min="12265" max="12265" width="9.140625" style="32"/>
    <col min="12266" max="12266" width="12.140625" style="32" customWidth="1"/>
    <col min="12267" max="12267" width="10.140625" style="32" customWidth="1"/>
    <col min="12268" max="12268" width="9.85546875" style="32" customWidth="1"/>
    <col min="12269" max="12269" width="10.85546875" style="32" customWidth="1"/>
    <col min="12270" max="12508" width="9.140625" style="32"/>
    <col min="12509" max="12509" width="1.85546875" style="32" customWidth="1"/>
    <col min="12510" max="12510" width="3.85546875" style="32" customWidth="1"/>
    <col min="12511" max="12511" width="8.5703125" style="32" customWidth="1"/>
    <col min="12512" max="12512" width="29.140625" style="32" customWidth="1"/>
    <col min="12513" max="12513" width="14.85546875" style="32" customWidth="1"/>
    <col min="12514" max="12514" width="8.140625" style="32" customWidth="1"/>
    <col min="12515" max="12515" width="7.140625" style="32" customWidth="1"/>
    <col min="12516" max="12516" width="7.85546875" style="32" customWidth="1"/>
    <col min="12517" max="12517" width="9.42578125" style="32" bestFit="1" customWidth="1"/>
    <col min="12518" max="12518" width="10.85546875" style="32" bestFit="1" customWidth="1"/>
    <col min="12519" max="12519" width="8.5703125" style="32" customWidth="1"/>
    <col min="12520" max="12520" width="10.140625" style="32" customWidth="1"/>
    <col min="12521" max="12521" width="9.140625" style="32"/>
    <col min="12522" max="12522" width="12.140625" style="32" customWidth="1"/>
    <col min="12523" max="12523" width="10.140625" style="32" customWidth="1"/>
    <col min="12524" max="12524" width="9.85546875" style="32" customWidth="1"/>
    <col min="12525" max="12525" width="10.85546875" style="32" customWidth="1"/>
    <col min="12526" max="12764" width="9.140625" style="32"/>
    <col min="12765" max="12765" width="1.85546875" style="32" customWidth="1"/>
    <col min="12766" max="12766" width="3.85546875" style="32" customWidth="1"/>
    <col min="12767" max="12767" width="8.5703125" style="32" customWidth="1"/>
    <col min="12768" max="12768" width="29.140625" style="32" customWidth="1"/>
    <col min="12769" max="12769" width="14.85546875" style="32" customWidth="1"/>
    <col min="12770" max="12770" width="8.140625" style="32" customWidth="1"/>
    <col min="12771" max="12771" width="7.140625" style="32" customWidth="1"/>
    <col min="12772" max="12772" width="7.85546875" style="32" customWidth="1"/>
    <col min="12773" max="12773" width="9.42578125" style="32" bestFit="1" customWidth="1"/>
    <col min="12774" max="12774" width="10.85546875" style="32" bestFit="1" customWidth="1"/>
    <col min="12775" max="12775" width="8.5703125" style="32" customWidth="1"/>
    <col min="12776" max="12776" width="10.140625" style="32" customWidth="1"/>
    <col min="12777" max="12777" width="9.140625" style="32"/>
    <col min="12778" max="12778" width="12.140625" style="32" customWidth="1"/>
    <col min="12779" max="12779" width="10.140625" style="32" customWidth="1"/>
    <col min="12780" max="12780" width="9.85546875" style="32" customWidth="1"/>
    <col min="12781" max="12781" width="10.85546875" style="32" customWidth="1"/>
    <col min="12782" max="13020" width="9.140625" style="32"/>
    <col min="13021" max="13021" width="1.85546875" style="32" customWidth="1"/>
    <col min="13022" max="13022" width="3.85546875" style="32" customWidth="1"/>
    <col min="13023" max="13023" width="8.5703125" style="32" customWidth="1"/>
    <col min="13024" max="13024" width="29.140625" style="32" customWidth="1"/>
    <col min="13025" max="13025" width="14.85546875" style="32" customWidth="1"/>
    <col min="13026" max="13026" width="8.140625" style="32" customWidth="1"/>
    <col min="13027" max="13027" width="7.140625" style="32" customWidth="1"/>
    <col min="13028" max="13028" width="7.85546875" style="32" customWidth="1"/>
    <col min="13029" max="13029" width="9.42578125" style="32" bestFit="1" customWidth="1"/>
    <col min="13030" max="13030" width="10.85546875" style="32" bestFit="1" customWidth="1"/>
    <col min="13031" max="13031" width="8.5703125" style="32" customWidth="1"/>
    <col min="13032" max="13032" width="10.140625" style="32" customWidth="1"/>
    <col min="13033" max="13033" width="9.140625" style="32"/>
    <col min="13034" max="13034" width="12.140625" style="32" customWidth="1"/>
    <col min="13035" max="13035" width="10.140625" style="32" customWidth="1"/>
    <col min="13036" max="13036" width="9.85546875" style="32" customWidth="1"/>
    <col min="13037" max="13037" width="10.85546875" style="32" customWidth="1"/>
    <col min="13038" max="13276" width="9.140625" style="32"/>
    <col min="13277" max="13277" width="1.85546875" style="32" customWidth="1"/>
    <col min="13278" max="13278" width="3.85546875" style="32" customWidth="1"/>
    <col min="13279" max="13279" width="8.5703125" style="32" customWidth="1"/>
    <col min="13280" max="13280" width="29.140625" style="32" customWidth="1"/>
    <col min="13281" max="13281" width="14.85546875" style="32" customWidth="1"/>
    <col min="13282" max="13282" width="8.140625" style="32" customWidth="1"/>
    <col min="13283" max="13283" width="7.140625" style="32" customWidth="1"/>
    <col min="13284" max="13284" width="7.85546875" style="32" customWidth="1"/>
    <col min="13285" max="13285" width="9.42578125" style="32" bestFit="1" customWidth="1"/>
    <col min="13286" max="13286" width="10.85546875" style="32" bestFit="1" customWidth="1"/>
    <col min="13287" max="13287" width="8.5703125" style="32" customWidth="1"/>
    <col min="13288" max="13288" width="10.140625" style="32" customWidth="1"/>
    <col min="13289" max="13289" width="9.140625" style="32"/>
    <col min="13290" max="13290" width="12.140625" style="32" customWidth="1"/>
    <col min="13291" max="13291" width="10.140625" style="32" customWidth="1"/>
    <col min="13292" max="13292" width="9.85546875" style="32" customWidth="1"/>
    <col min="13293" max="13293" width="10.85546875" style="32" customWidth="1"/>
    <col min="13294" max="13532" width="9.140625" style="32"/>
    <col min="13533" max="13533" width="1.85546875" style="32" customWidth="1"/>
    <col min="13534" max="13534" width="3.85546875" style="32" customWidth="1"/>
    <col min="13535" max="13535" width="8.5703125" style="32" customWidth="1"/>
    <col min="13536" max="13536" width="29.140625" style="32" customWidth="1"/>
    <col min="13537" max="13537" width="14.85546875" style="32" customWidth="1"/>
    <col min="13538" max="13538" width="8.140625" style="32" customWidth="1"/>
    <col min="13539" max="13539" width="7.140625" style="32" customWidth="1"/>
    <col min="13540" max="13540" width="7.85546875" style="32" customWidth="1"/>
    <col min="13541" max="13541" width="9.42578125" style="32" bestFit="1" customWidth="1"/>
    <col min="13542" max="13542" width="10.85546875" style="32" bestFit="1" customWidth="1"/>
    <col min="13543" max="13543" width="8.5703125" style="32" customWidth="1"/>
    <col min="13544" max="13544" width="10.140625" style="32" customWidth="1"/>
    <col min="13545" max="13545" width="9.140625" style="32"/>
    <col min="13546" max="13546" width="12.140625" style="32" customWidth="1"/>
    <col min="13547" max="13547" width="10.140625" style="32" customWidth="1"/>
    <col min="13548" max="13548" width="9.85546875" style="32" customWidth="1"/>
    <col min="13549" max="13549" width="10.85546875" style="32" customWidth="1"/>
    <col min="13550" max="13788" width="9.140625" style="32"/>
    <col min="13789" max="13789" width="1.85546875" style="32" customWidth="1"/>
    <col min="13790" max="13790" width="3.85546875" style="32" customWidth="1"/>
    <col min="13791" max="13791" width="8.5703125" style="32" customWidth="1"/>
    <col min="13792" max="13792" width="29.140625" style="32" customWidth="1"/>
    <col min="13793" max="13793" width="14.85546875" style="32" customWidth="1"/>
    <col min="13794" max="13794" width="8.140625" style="32" customWidth="1"/>
    <col min="13795" max="13795" width="7.140625" style="32" customWidth="1"/>
    <col min="13796" max="13796" width="7.85546875" style="32" customWidth="1"/>
    <col min="13797" max="13797" width="9.42578125" style="32" bestFit="1" customWidth="1"/>
    <col min="13798" max="13798" width="10.85546875" style="32" bestFit="1" customWidth="1"/>
    <col min="13799" max="13799" width="8.5703125" style="32" customWidth="1"/>
    <col min="13800" max="13800" width="10.140625" style="32" customWidth="1"/>
    <col min="13801" max="13801" width="9.140625" style="32"/>
    <col min="13802" max="13802" width="12.140625" style="32" customWidth="1"/>
    <col min="13803" max="13803" width="10.140625" style="32" customWidth="1"/>
    <col min="13804" max="13804" width="9.85546875" style="32" customWidth="1"/>
    <col min="13805" max="13805" width="10.85546875" style="32" customWidth="1"/>
    <col min="13806" max="14044" width="9.140625" style="32"/>
    <col min="14045" max="14045" width="1.85546875" style="32" customWidth="1"/>
    <col min="14046" max="14046" width="3.85546875" style="32" customWidth="1"/>
    <col min="14047" max="14047" width="8.5703125" style="32" customWidth="1"/>
    <col min="14048" max="14048" width="29.140625" style="32" customWidth="1"/>
    <col min="14049" max="14049" width="14.85546875" style="32" customWidth="1"/>
    <col min="14050" max="14050" width="8.140625" style="32" customWidth="1"/>
    <col min="14051" max="14051" width="7.140625" style="32" customWidth="1"/>
    <col min="14052" max="14052" width="7.85546875" style="32" customWidth="1"/>
    <col min="14053" max="14053" width="9.42578125" style="32" bestFit="1" customWidth="1"/>
    <col min="14054" max="14054" width="10.85546875" style="32" bestFit="1" customWidth="1"/>
    <col min="14055" max="14055" width="8.5703125" style="32" customWidth="1"/>
    <col min="14056" max="14056" width="10.140625" style="32" customWidth="1"/>
    <col min="14057" max="14057" width="9.140625" style="32"/>
    <col min="14058" max="14058" width="12.140625" style="32" customWidth="1"/>
    <col min="14059" max="14059" width="10.140625" style="32" customWidth="1"/>
    <col min="14060" max="14060" width="9.85546875" style="32" customWidth="1"/>
    <col min="14061" max="14061" width="10.85546875" style="32" customWidth="1"/>
    <col min="14062" max="14300" width="9.140625" style="32"/>
    <col min="14301" max="14301" width="1.85546875" style="32" customWidth="1"/>
    <col min="14302" max="14302" width="3.85546875" style="32" customWidth="1"/>
    <col min="14303" max="14303" width="8.5703125" style="32" customWidth="1"/>
    <col min="14304" max="14304" width="29.140625" style="32" customWidth="1"/>
    <col min="14305" max="14305" width="14.85546875" style="32" customWidth="1"/>
    <col min="14306" max="14306" width="8.140625" style="32" customWidth="1"/>
    <col min="14307" max="14307" width="7.140625" style="32" customWidth="1"/>
    <col min="14308" max="14308" width="7.85546875" style="32" customWidth="1"/>
    <col min="14309" max="14309" width="9.42578125" style="32" bestFit="1" customWidth="1"/>
    <col min="14310" max="14310" width="10.85546875" style="32" bestFit="1" customWidth="1"/>
    <col min="14311" max="14311" width="8.5703125" style="32" customWidth="1"/>
    <col min="14312" max="14312" width="10.140625" style="32" customWidth="1"/>
    <col min="14313" max="14313" width="9.140625" style="32"/>
    <col min="14314" max="14314" width="12.140625" style="32" customWidth="1"/>
    <col min="14315" max="14315" width="10.140625" style="32" customWidth="1"/>
    <col min="14316" max="14316" width="9.85546875" style="32" customWidth="1"/>
    <col min="14317" max="14317" width="10.85546875" style="32" customWidth="1"/>
    <col min="14318" max="14556" width="9.140625" style="32"/>
    <col min="14557" max="14557" width="1.85546875" style="32" customWidth="1"/>
    <col min="14558" max="14558" width="3.85546875" style="32" customWidth="1"/>
    <col min="14559" max="14559" width="8.5703125" style="32" customWidth="1"/>
    <col min="14560" max="14560" width="29.140625" style="32" customWidth="1"/>
    <col min="14561" max="14561" width="14.85546875" style="32" customWidth="1"/>
    <col min="14562" max="14562" width="8.140625" style="32" customWidth="1"/>
    <col min="14563" max="14563" width="7.140625" style="32" customWidth="1"/>
    <col min="14564" max="14564" width="7.85546875" style="32" customWidth="1"/>
    <col min="14565" max="14565" width="9.42578125" style="32" bestFit="1" customWidth="1"/>
    <col min="14566" max="14566" width="10.85546875" style="32" bestFit="1" customWidth="1"/>
    <col min="14567" max="14567" width="8.5703125" style="32" customWidth="1"/>
    <col min="14568" max="14568" width="10.140625" style="32" customWidth="1"/>
    <col min="14569" max="14569" width="9.140625" style="32"/>
    <col min="14570" max="14570" width="12.140625" style="32" customWidth="1"/>
    <col min="14571" max="14571" width="10.140625" style="32" customWidth="1"/>
    <col min="14572" max="14572" width="9.85546875" style="32" customWidth="1"/>
    <col min="14573" max="14573" width="10.85546875" style="32" customWidth="1"/>
    <col min="14574" max="14812" width="9.140625" style="32"/>
    <col min="14813" max="14813" width="1.85546875" style="32" customWidth="1"/>
    <col min="14814" max="14814" width="3.85546875" style="32" customWidth="1"/>
    <col min="14815" max="14815" width="8.5703125" style="32" customWidth="1"/>
    <col min="14816" max="14816" width="29.140625" style="32" customWidth="1"/>
    <col min="14817" max="14817" width="14.85546875" style="32" customWidth="1"/>
    <col min="14818" max="14818" width="8.140625" style="32" customWidth="1"/>
    <col min="14819" max="14819" width="7.140625" style="32" customWidth="1"/>
    <col min="14820" max="14820" width="7.85546875" style="32" customWidth="1"/>
    <col min="14821" max="14821" width="9.42578125" style="32" bestFit="1" customWidth="1"/>
    <col min="14822" max="14822" width="10.85546875" style="32" bestFit="1" customWidth="1"/>
    <col min="14823" max="14823" width="8.5703125" style="32" customWidth="1"/>
    <col min="14824" max="14824" width="10.140625" style="32" customWidth="1"/>
    <col min="14825" max="14825" width="9.140625" style="32"/>
    <col min="14826" max="14826" width="12.140625" style="32" customWidth="1"/>
    <col min="14827" max="14827" width="10.140625" style="32" customWidth="1"/>
    <col min="14828" max="14828" width="9.85546875" style="32" customWidth="1"/>
    <col min="14829" max="14829" width="10.85546875" style="32" customWidth="1"/>
    <col min="14830" max="15068" width="9.140625" style="32"/>
    <col min="15069" max="15069" width="1.85546875" style="32" customWidth="1"/>
    <col min="15070" max="15070" width="3.85546875" style="32" customWidth="1"/>
    <col min="15071" max="15071" width="8.5703125" style="32" customWidth="1"/>
    <col min="15072" max="15072" width="29.140625" style="32" customWidth="1"/>
    <col min="15073" max="15073" width="14.85546875" style="32" customWidth="1"/>
    <col min="15074" max="15074" width="8.140625" style="32" customWidth="1"/>
    <col min="15075" max="15075" width="7.140625" style="32" customWidth="1"/>
    <col min="15076" max="15076" width="7.85546875" style="32" customWidth="1"/>
    <col min="15077" max="15077" width="9.42578125" style="32" bestFit="1" customWidth="1"/>
    <col min="15078" max="15078" width="10.85546875" style="32" bestFit="1" customWidth="1"/>
    <col min="15079" max="15079" width="8.5703125" style="32" customWidth="1"/>
    <col min="15080" max="15080" width="10.140625" style="32" customWidth="1"/>
    <col min="15081" max="15081" width="9.140625" style="32"/>
    <col min="15082" max="15082" width="12.140625" style="32" customWidth="1"/>
    <col min="15083" max="15083" width="10.140625" style="32" customWidth="1"/>
    <col min="15084" max="15084" width="9.85546875" style="32" customWidth="1"/>
    <col min="15085" max="15085" width="10.85546875" style="32" customWidth="1"/>
    <col min="15086" max="15324" width="9.140625" style="32"/>
    <col min="15325" max="15325" width="1.85546875" style="32" customWidth="1"/>
    <col min="15326" max="15326" width="3.85546875" style="32" customWidth="1"/>
    <col min="15327" max="15327" width="8.5703125" style="32" customWidth="1"/>
    <col min="15328" max="15328" width="29.140625" style="32" customWidth="1"/>
    <col min="15329" max="15329" width="14.85546875" style="32" customWidth="1"/>
    <col min="15330" max="15330" width="8.140625" style="32" customWidth="1"/>
    <col min="15331" max="15331" width="7.140625" style="32" customWidth="1"/>
    <col min="15332" max="15332" width="7.85546875" style="32" customWidth="1"/>
    <col min="15333" max="15333" width="9.42578125" style="32" bestFit="1" customWidth="1"/>
    <col min="15334" max="15334" width="10.85546875" style="32" bestFit="1" customWidth="1"/>
    <col min="15335" max="15335" width="8.5703125" style="32" customWidth="1"/>
    <col min="15336" max="15336" width="10.140625" style="32" customWidth="1"/>
    <col min="15337" max="15337" width="9.140625" style="32"/>
    <col min="15338" max="15338" width="12.140625" style="32" customWidth="1"/>
    <col min="15339" max="15339" width="10.140625" style="32" customWidth="1"/>
    <col min="15340" max="15340" width="9.85546875" style="32" customWidth="1"/>
    <col min="15341" max="15341" width="10.85546875" style="32" customWidth="1"/>
    <col min="15342" max="15580" width="9.140625" style="32"/>
    <col min="15581" max="15581" width="1.85546875" style="32" customWidth="1"/>
    <col min="15582" max="15582" width="3.85546875" style="32" customWidth="1"/>
    <col min="15583" max="15583" width="8.5703125" style="32" customWidth="1"/>
    <col min="15584" max="15584" width="29.140625" style="32" customWidth="1"/>
    <col min="15585" max="15585" width="14.85546875" style="32" customWidth="1"/>
    <col min="15586" max="15586" width="8.140625" style="32" customWidth="1"/>
    <col min="15587" max="15587" width="7.140625" style="32" customWidth="1"/>
    <col min="15588" max="15588" width="7.85546875" style="32" customWidth="1"/>
    <col min="15589" max="15589" width="9.42578125" style="32" bestFit="1" customWidth="1"/>
    <col min="15590" max="15590" width="10.85546875" style="32" bestFit="1" customWidth="1"/>
    <col min="15591" max="15591" width="8.5703125" style="32" customWidth="1"/>
    <col min="15592" max="15592" width="10.140625" style="32" customWidth="1"/>
    <col min="15593" max="15593" width="9.140625" style="32"/>
    <col min="15594" max="15594" width="12.140625" style="32" customWidth="1"/>
    <col min="15595" max="15595" width="10.140625" style="32" customWidth="1"/>
    <col min="15596" max="15596" width="9.85546875" style="32" customWidth="1"/>
    <col min="15597" max="15597" width="10.85546875" style="32" customWidth="1"/>
    <col min="15598" max="15836" width="9.140625" style="32"/>
    <col min="15837" max="15837" width="1.85546875" style="32" customWidth="1"/>
    <col min="15838" max="15838" width="3.85546875" style="32" customWidth="1"/>
    <col min="15839" max="15839" width="8.5703125" style="32" customWidth="1"/>
    <col min="15840" max="15840" width="29.140625" style="32" customWidth="1"/>
    <col min="15841" max="15841" width="14.85546875" style="32" customWidth="1"/>
    <col min="15842" max="15842" width="8.140625" style="32" customWidth="1"/>
    <col min="15843" max="15843" width="7.140625" style="32" customWidth="1"/>
    <col min="15844" max="15844" width="7.85546875" style="32" customWidth="1"/>
    <col min="15845" max="15845" width="9.42578125" style="32" bestFit="1" customWidth="1"/>
    <col min="15846" max="15846" width="10.85546875" style="32" bestFit="1" customWidth="1"/>
    <col min="15847" max="15847" width="8.5703125" style="32" customWidth="1"/>
    <col min="15848" max="15848" width="10.140625" style="32" customWidth="1"/>
    <col min="15849" max="15849" width="9.140625" style="32"/>
    <col min="15850" max="15850" width="12.140625" style="32" customWidth="1"/>
    <col min="15851" max="15851" width="10.140625" style="32" customWidth="1"/>
    <col min="15852" max="15852" width="9.85546875" style="32" customWidth="1"/>
    <col min="15853" max="15853" width="10.85546875" style="32" customWidth="1"/>
    <col min="15854" max="16092" width="9.140625" style="32"/>
    <col min="16093" max="16093" width="1.85546875" style="32" customWidth="1"/>
    <col min="16094" max="16094" width="3.85546875" style="32" customWidth="1"/>
    <col min="16095" max="16095" width="8.5703125" style="32" customWidth="1"/>
    <col min="16096" max="16096" width="29.140625" style="32" customWidth="1"/>
    <col min="16097" max="16097" width="14.85546875" style="32" customWidth="1"/>
    <col min="16098" max="16098" width="8.140625" style="32" customWidth="1"/>
    <col min="16099" max="16099" width="7.140625" style="32" customWidth="1"/>
    <col min="16100" max="16100" width="7.85546875" style="32" customWidth="1"/>
    <col min="16101" max="16101" width="9.42578125" style="32" bestFit="1" customWidth="1"/>
    <col min="16102" max="16102" width="10.85546875" style="32" bestFit="1" customWidth="1"/>
    <col min="16103" max="16103" width="8.5703125" style="32" customWidth="1"/>
    <col min="16104" max="16104" width="10.140625" style="32" customWidth="1"/>
    <col min="16105" max="16105" width="9.140625" style="32"/>
    <col min="16106" max="16106" width="12.140625" style="32" customWidth="1"/>
    <col min="16107" max="16107" width="10.140625" style="32" customWidth="1"/>
    <col min="16108" max="16108" width="9.85546875" style="32" customWidth="1"/>
    <col min="16109" max="16109" width="10.85546875" style="32" customWidth="1"/>
    <col min="16110" max="16371" width="9.140625" style="32"/>
    <col min="16372" max="16384" width="8.85546875" style="32" customWidth="1"/>
  </cols>
  <sheetData>
    <row r="1" spans="1:17">
      <c r="A1" s="210" t="s">
        <v>109</v>
      </c>
      <c r="B1" s="210"/>
      <c r="C1" s="210"/>
      <c r="D1" s="210"/>
      <c r="E1" s="210"/>
      <c r="F1" s="210"/>
      <c r="G1" s="210"/>
      <c r="H1" s="210"/>
      <c r="I1" s="210"/>
      <c r="J1" s="210"/>
      <c r="K1" s="210"/>
      <c r="L1" s="210"/>
      <c r="M1" s="210"/>
      <c r="N1" s="210"/>
      <c r="O1" s="210"/>
      <c r="P1" s="210"/>
      <c r="Q1" s="210"/>
    </row>
    <row r="2" spans="1:17">
      <c r="A2" s="224" t="s">
        <v>31</v>
      </c>
      <c r="B2" s="210"/>
      <c r="C2" s="210"/>
      <c r="D2" s="210"/>
      <c r="E2" s="210"/>
      <c r="F2" s="210"/>
      <c r="G2" s="210"/>
      <c r="H2" s="210"/>
      <c r="I2" s="210"/>
      <c r="J2" s="210"/>
      <c r="K2" s="210"/>
      <c r="L2" s="210"/>
      <c r="M2" s="210"/>
      <c r="N2" s="210"/>
      <c r="O2" s="210"/>
      <c r="P2" s="210"/>
      <c r="Q2" s="210"/>
    </row>
    <row r="3" spans="1:17">
      <c r="A3" s="203" t="s">
        <v>49</v>
      </c>
      <c r="B3" s="203"/>
      <c r="C3" s="203"/>
      <c r="D3" s="203"/>
      <c r="E3" s="203"/>
      <c r="F3" s="203"/>
      <c r="G3" s="203"/>
      <c r="H3" s="203"/>
      <c r="I3" s="203"/>
      <c r="J3" s="203"/>
      <c r="K3" s="203"/>
      <c r="L3" s="203"/>
      <c r="M3" s="203"/>
      <c r="N3" s="203"/>
      <c r="O3" s="203"/>
      <c r="P3" s="203"/>
      <c r="Q3" s="203"/>
    </row>
    <row r="4" spans="1:17">
      <c r="A4" s="59"/>
      <c r="B4" s="56"/>
      <c r="C4" s="56"/>
      <c r="D4" s="57"/>
      <c r="E4" s="192"/>
      <c r="F4" s="192"/>
      <c r="G4" s="192"/>
      <c r="H4" s="192"/>
      <c r="I4" s="4"/>
      <c r="J4" s="192"/>
      <c r="K4" s="192"/>
      <c r="L4" s="192"/>
      <c r="M4" s="192"/>
      <c r="N4" s="192"/>
      <c r="O4" s="192"/>
      <c r="P4" s="192"/>
    </row>
    <row r="5" spans="1:17" ht="23.45" customHeight="1">
      <c r="A5" s="209" t="str">
        <f>Koptāme!$A$11</f>
        <v>Objekta nosaukums: Slaucamo govju kūts jaunbūve īpašumā
"Vecsašava"</v>
      </c>
      <c r="B5" s="209"/>
      <c r="C5" s="209"/>
      <c r="D5" s="209"/>
      <c r="E5" s="209"/>
      <c r="F5" s="209"/>
      <c r="G5" s="209"/>
      <c r="H5" s="62"/>
      <c r="I5" s="62"/>
      <c r="J5" s="62"/>
      <c r="K5" s="62"/>
      <c r="L5" s="62"/>
      <c r="M5" s="62"/>
      <c r="N5" s="62"/>
      <c r="O5" s="62"/>
      <c r="P5" s="62"/>
    </row>
    <row r="6" spans="1:17" ht="23.45" customHeight="1">
      <c r="A6" s="209" t="str">
        <f>Koptāme!$A$12</f>
        <v>Objekta adrese: Īpašums "Vecsašava", Mālupes pagasts,
Alūksnes novads</v>
      </c>
      <c r="B6" s="209"/>
      <c r="C6" s="209"/>
      <c r="D6" s="209"/>
      <c r="E6" s="209"/>
      <c r="F6" s="209"/>
      <c r="G6" s="209"/>
      <c r="H6" s="192"/>
      <c r="I6" s="4"/>
      <c r="J6" s="192"/>
      <c r="K6" s="192"/>
      <c r="L6" s="192"/>
      <c r="M6" s="192"/>
      <c r="N6" s="192"/>
      <c r="O6" s="192"/>
      <c r="P6" s="192"/>
    </row>
    <row r="7" spans="1:17" ht="14.25" customHeight="1">
      <c r="A7" s="209" t="str">
        <f>Koptāme!$A$13</f>
        <v>Pasūtītājs: Z/S "Jaunceriņi"</v>
      </c>
      <c r="B7" s="209"/>
      <c r="C7" s="209"/>
      <c r="D7" s="209"/>
      <c r="E7" s="209"/>
      <c r="F7" s="209"/>
      <c r="G7" s="209"/>
      <c r="H7" s="192"/>
      <c r="I7" s="4"/>
      <c r="J7" s="192"/>
      <c r="K7" s="192"/>
      <c r="L7" s="192"/>
      <c r="M7" s="192"/>
      <c r="N7" s="192"/>
      <c r="O7" s="192"/>
      <c r="P7" s="192"/>
    </row>
    <row r="8" spans="1:17" ht="12">
      <c r="A8" s="57"/>
      <c r="B8" s="59"/>
      <c r="C8" s="57"/>
      <c r="D8" s="60"/>
      <c r="E8" s="60"/>
      <c r="F8" s="60"/>
      <c r="G8" s="60"/>
      <c r="H8" s="60"/>
      <c r="I8" s="60"/>
      <c r="J8" s="60"/>
      <c r="K8" s="60"/>
      <c r="L8" s="60"/>
      <c r="M8" s="60"/>
      <c r="N8" s="60"/>
      <c r="O8" s="63" t="s">
        <v>50</v>
      </c>
      <c r="P8" s="111">
        <f>P257</f>
        <v>0</v>
      </c>
      <c r="Q8" s="61">
        <f>Q257</f>
        <v>0</v>
      </c>
    </row>
    <row r="9" spans="1:17" ht="12">
      <c r="A9" s="57"/>
      <c r="B9" s="59"/>
      <c r="C9" s="57"/>
      <c r="D9" s="60"/>
      <c r="E9" s="60"/>
      <c r="F9" s="60"/>
      <c r="G9" s="60"/>
      <c r="H9" s="60"/>
      <c r="I9" s="60"/>
      <c r="J9" s="60"/>
      <c r="K9" s="60"/>
      <c r="L9" s="60"/>
      <c r="M9" s="60"/>
      <c r="N9" s="107" t="str">
        <f>Koptāme!$A$28</f>
        <v>Tāme sastādīta: 2025.gada 20. oktobrī</v>
      </c>
      <c r="O9" s="69"/>
      <c r="P9" s="69"/>
      <c r="Q9" s="60"/>
    </row>
    <row r="11" spans="1:17" ht="12">
      <c r="A11" s="206" t="s">
        <v>51</v>
      </c>
      <c r="B11" s="207" t="s">
        <v>52</v>
      </c>
      <c r="C11" s="206" t="s">
        <v>53</v>
      </c>
      <c r="D11" s="206" t="s">
        <v>54</v>
      </c>
      <c r="E11" s="206" t="s">
        <v>55</v>
      </c>
      <c r="F11" s="204" t="s">
        <v>56</v>
      </c>
      <c r="G11" s="204"/>
      <c r="H11" s="204"/>
      <c r="I11" s="204"/>
      <c r="J11" s="204"/>
      <c r="K11" s="204"/>
      <c r="L11" s="204" t="s">
        <v>57</v>
      </c>
      <c r="M11" s="204"/>
      <c r="N11" s="204"/>
      <c r="O11" s="204"/>
      <c r="P11" s="204"/>
      <c r="Q11" s="110"/>
    </row>
    <row r="12" spans="1:17" ht="48">
      <c r="A12" s="206"/>
      <c r="B12" s="207"/>
      <c r="C12" s="206"/>
      <c r="D12" s="206"/>
      <c r="E12" s="206"/>
      <c r="F12" s="190" t="s">
        <v>58</v>
      </c>
      <c r="G12" s="190" t="s">
        <v>59</v>
      </c>
      <c r="H12" s="190" t="s">
        <v>60</v>
      </c>
      <c r="I12" s="190" t="s">
        <v>24</v>
      </c>
      <c r="J12" s="190" t="s">
        <v>61</v>
      </c>
      <c r="K12" s="190" t="s">
        <v>62</v>
      </c>
      <c r="L12" s="190" t="s">
        <v>63</v>
      </c>
      <c r="M12" s="190" t="s">
        <v>60</v>
      </c>
      <c r="N12" s="190" t="s">
        <v>24</v>
      </c>
      <c r="O12" s="190" t="s">
        <v>61</v>
      </c>
      <c r="P12" s="190" t="s">
        <v>64</v>
      </c>
      <c r="Q12" s="110"/>
    </row>
    <row r="13" spans="1:17" ht="12">
      <c r="A13" s="190">
        <v>1</v>
      </c>
      <c r="B13" s="190">
        <v>2</v>
      </c>
      <c r="C13" s="190">
        <v>3</v>
      </c>
      <c r="D13" s="190">
        <v>4</v>
      </c>
      <c r="E13" s="190">
        <v>5</v>
      </c>
      <c r="F13" s="190">
        <v>6</v>
      </c>
      <c r="G13" s="190">
        <v>7</v>
      </c>
      <c r="H13" s="190">
        <v>8</v>
      </c>
      <c r="I13" s="190">
        <v>9</v>
      </c>
      <c r="J13" s="190">
        <v>10</v>
      </c>
      <c r="K13" s="190">
        <v>11</v>
      </c>
      <c r="L13" s="190">
        <v>12</v>
      </c>
      <c r="M13" s="190">
        <v>13</v>
      </c>
      <c r="N13" s="190">
        <v>14</v>
      </c>
      <c r="O13" s="190">
        <v>15</v>
      </c>
      <c r="P13" s="190">
        <v>16</v>
      </c>
      <c r="Q13" s="110"/>
    </row>
    <row r="14" spans="1:17" ht="12">
      <c r="A14" s="39"/>
      <c r="B14" s="40"/>
      <c r="C14" s="136" t="s">
        <v>110</v>
      </c>
      <c r="D14" s="39"/>
      <c r="E14" s="39"/>
      <c r="F14" s="112"/>
      <c r="G14" s="39"/>
      <c r="H14" s="39"/>
      <c r="I14" s="39"/>
      <c r="J14" s="39"/>
      <c r="K14" s="39"/>
      <c r="L14" s="39"/>
      <c r="M14" s="39"/>
      <c r="N14" s="39"/>
      <c r="O14" s="39"/>
      <c r="P14" s="39"/>
      <c r="Q14" s="110"/>
    </row>
    <row r="15" spans="1:17">
      <c r="A15" s="113">
        <f>IF(D15="","",COUNTIF(B$13:$B15,"l.c"))</f>
        <v>1</v>
      </c>
      <c r="B15" s="113" t="str">
        <f t="shared" ref="B15" si="0">IF(D15="","","l.c")</f>
        <v>l.c</v>
      </c>
      <c r="C15" s="37" t="s">
        <v>111</v>
      </c>
      <c r="D15" s="7" t="s">
        <v>76</v>
      </c>
      <c r="E15" s="44">
        <v>1</v>
      </c>
      <c r="F15" s="38"/>
      <c r="G15" s="38"/>
      <c r="H15" s="38"/>
      <c r="I15" s="38"/>
      <c r="J15" s="38"/>
      <c r="K15" s="38"/>
      <c r="L15" s="38"/>
      <c r="M15" s="38"/>
      <c r="N15" s="38"/>
      <c r="O15" s="38"/>
      <c r="P15" s="38"/>
      <c r="Q15" s="110"/>
    </row>
    <row r="16" spans="1:17">
      <c r="A16" s="113" t="str">
        <f>IF(D16="","",COUNTIF(B$13:$B16,"l.c"))</f>
        <v/>
      </c>
      <c r="B16" s="113" t="str">
        <f t="shared" ref="B16:B77" si="1">IF(D16="","","l.c")</f>
        <v/>
      </c>
      <c r="C16" s="37"/>
      <c r="D16" s="7"/>
      <c r="E16" s="44"/>
      <c r="F16" s="38"/>
      <c r="G16" s="38"/>
      <c r="H16" s="38"/>
      <c r="I16" s="38"/>
      <c r="J16" s="38"/>
      <c r="K16" s="38"/>
      <c r="L16" s="38"/>
      <c r="M16" s="38"/>
      <c r="N16" s="38"/>
      <c r="O16" s="38"/>
      <c r="P16" s="38"/>
      <c r="Q16" s="110"/>
    </row>
    <row r="17" spans="1:17">
      <c r="A17" s="113"/>
      <c r="B17" s="113"/>
      <c r="C17" s="114" t="s">
        <v>112</v>
      </c>
      <c r="D17" s="115" t="s">
        <v>113</v>
      </c>
      <c r="E17" s="137">
        <f>7</f>
        <v>7</v>
      </c>
      <c r="F17" s="38"/>
      <c r="G17" s="38"/>
      <c r="H17" s="38"/>
      <c r="I17" s="38"/>
      <c r="J17" s="38"/>
      <c r="K17" s="38"/>
      <c r="L17" s="38"/>
      <c r="M17" s="38"/>
      <c r="N17" s="38"/>
      <c r="O17" s="38"/>
      <c r="P17" s="38"/>
      <c r="Q17" s="110"/>
    </row>
    <row r="18" spans="1:17">
      <c r="A18" s="113">
        <f>IF(D18="","",COUNTIF(B$13:$B18,"l.c"))</f>
        <v>2</v>
      </c>
      <c r="B18" s="113" t="str">
        <f t="shared" si="1"/>
        <v>l.c</v>
      </c>
      <c r="C18" s="45" t="s">
        <v>114</v>
      </c>
      <c r="D18" s="7" t="s">
        <v>98</v>
      </c>
      <c r="E18" s="44">
        <f>1.2*1.2*0.2*E17</f>
        <v>2.02</v>
      </c>
      <c r="F18" s="38"/>
      <c r="G18" s="38"/>
      <c r="H18" s="38"/>
      <c r="I18" s="38"/>
      <c r="J18" s="38"/>
      <c r="K18" s="38"/>
      <c r="L18" s="38"/>
      <c r="M18" s="38"/>
      <c r="N18" s="38"/>
      <c r="O18" s="38"/>
      <c r="P18" s="38"/>
      <c r="Q18" s="110"/>
    </row>
    <row r="19" spans="1:17">
      <c r="A19" s="113">
        <f>IF(D19="","",COUNTIF(B$13:$B19,"l.c"))</f>
        <v>3</v>
      </c>
      <c r="B19" s="113" t="str">
        <f t="shared" si="1"/>
        <v>l.c</v>
      </c>
      <c r="C19" s="45" t="s">
        <v>115</v>
      </c>
      <c r="D19" s="7" t="s">
        <v>98</v>
      </c>
      <c r="E19" s="44">
        <f>E18*1.25</f>
        <v>2.5299999999999998</v>
      </c>
      <c r="F19" s="38"/>
      <c r="G19" s="38"/>
      <c r="H19" s="38"/>
      <c r="I19" s="38"/>
      <c r="J19" s="38"/>
      <c r="K19" s="38"/>
      <c r="L19" s="38"/>
      <c r="M19" s="38"/>
      <c r="N19" s="38"/>
      <c r="O19" s="38"/>
      <c r="P19" s="38"/>
      <c r="Q19" s="110"/>
    </row>
    <row r="20" spans="1:17">
      <c r="A20" s="113">
        <f>IF(D20="","",COUNTIF(B$13:$B20,"l.c"))</f>
        <v>4</v>
      </c>
      <c r="B20" s="113" t="str">
        <f t="shared" si="1"/>
        <v>l.c</v>
      </c>
      <c r="C20" s="37" t="s">
        <v>116</v>
      </c>
      <c r="D20" s="7" t="s">
        <v>117</v>
      </c>
      <c r="E20" s="198">
        <v>125.25</v>
      </c>
      <c r="F20" s="38"/>
      <c r="G20" s="38"/>
      <c r="H20" s="38"/>
      <c r="I20" s="38"/>
      <c r="J20" s="38"/>
      <c r="K20" s="38"/>
      <c r="L20" s="38"/>
      <c r="M20" s="38"/>
      <c r="N20" s="38"/>
      <c r="O20" s="38"/>
      <c r="P20" s="38"/>
      <c r="Q20" s="110"/>
    </row>
    <row r="21" spans="1:17">
      <c r="A21" s="113">
        <f>IF(D21="","",COUNTIF(B$13:$B21,"l.c"))</f>
        <v>5</v>
      </c>
      <c r="B21" s="113" t="str">
        <f t="shared" si="1"/>
        <v>l.c</v>
      </c>
      <c r="C21" s="37" t="s">
        <v>118</v>
      </c>
      <c r="D21" s="7" t="s">
        <v>71</v>
      </c>
      <c r="E21" s="44">
        <f>4*E17</f>
        <v>28</v>
      </c>
      <c r="F21" s="38"/>
      <c r="G21" s="38"/>
      <c r="H21" s="38"/>
      <c r="I21" s="38"/>
      <c r="J21" s="38"/>
      <c r="K21" s="38"/>
      <c r="L21" s="38"/>
      <c r="M21" s="38"/>
      <c r="N21" s="38"/>
      <c r="O21" s="38"/>
      <c r="P21" s="38"/>
      <c r="Q21" s="110"/>
    </row>
    <row r="22" spans="1:17">
      <c r="A22" s="113">
        <f>IF(D22="","",COUNTIF(B$13:$B22,"l.c"))</f>
        <v>6</v>
      </c>
      <c r="B22" s="113" t="str">
        <f t="shared" si="1"/>
        <v>l.c</v>
      </c>
      <c r="C22" s="37" t="s">
        <v>119</v>
      </c>
      <c r="D22" s="7" t="s">
        <v>120</v>
      </c>
      <c r="E22" s="44">
        <f>0.3*1*4*E17</f>
        <v>8.4</v>
      </c>
      <c r="F22" s="38"/>
      <c r="G22" s="38"/>
      <c r="H22" s="38"/>
      <c r="I22" s="38"/>
      <c r="J22" s="38"/>
      <c r="K22" s="38"/>
      <c r="L22" s="38"/>
      <c r="M22" s="38"/>
      <c r="N22" s="38"/>
      <c r="O22" s="38"/>
      <c r="P22" s="38"/>
      <c r="Q22" s="110"/>
    </row>
    <row r="23" spans="1:17">
      <c r="A23" s="113">
        <f>IF(D23="","",COUNTIF(B$13:$B23,"l.c"))</f>
        <v>7</v>
      </c>
      <c r="B23" s="113" t="str">
        <f t="shared" si="1"/>
        <v>l.c</v>
      </c>
      <c r="C23" s="37" t="s">
        <v>121</v>
      </c>
      <c r="D23" s="7" t="s">
        <v>98</v>
      </c>
      <c r="E23" s="44">
        <f>1*1*0.3*E17</f>
        <v>2.1</v>
      </c>
      <c r="F23" s="38"/>
      <c r="G23" s="38"/>
      <c r="H23" s="38"/>
      <c r="I23" s="38"/>
      <c r="J23" s="38"/>
      <c r="K23" s="38"/>
      <c r="L23" s="38"/>
      <c r="M23" s="38"/>
      <c r="N23" s="38"/>
      <c r="O23" s="38"/>
      <c r="P23" s="38"/>
      <c r="Q23" s="110"/>
    </row>
    <row r="24" spans="1:17">
      <c r="A24" s="113" t="str">
        <f>IF(D24="","",COUNTIF(B$13:$B24,"l.c"))</f>
        <v/>
      </c>
      <c r="B24" s="113" t="str">
        <f t="shared" si="1"/>
        <v/>
      </c>
      <c r="C24" s="37"/>
      <c r="D24" s="7"/>
      <c r="E24" s="44"/>
      <c r="F24" s="38"/>
      <c r="G24" s="38"/>
      <c r="H24" s="38"/>
      <c r="I24" s="38"/>
      <c r="J24" s="38"/>
      <c r="K24" s="38"/>
      <c r="L24" s="38"/>
      <c r="M24" s="38"/>
      <c r="N24" s="38"/>
      <c r="O24" s="38"/>
      <c r="P24" s="38"/>
      <c r="Q24" s="110"/>
    </row>
    <row r="25" spans="1:17">
      <c r="A25" s="113"/>
      <c r="B25" s="113"/>
      <c r="C25" s="114" t="s">
        <v>122</v>
      </c>
      <c r="D25" s="115" t="s">
        <v>113</v>
      </c>
      <c r="E25" s="137">
        <v>9</v>
      </c>
      <c r="F25" s="38"/>
      <c r="G25" s="38"/>
      <c r="H25" s="38"/>
      <c r="I25" s="38"/>
      <c r="J25" s="38"/>
      <c r="K25" s="38"/>
      <c r="L25" s="38"/>
      <c r="M25" s="38"/>
      <c r="N25" s="38"/>
      <c r="O25" s="38"/>
      <c r="P25" s="38"/>
      <c r="Q25" s="110"/>
    </row>
    <row r="26" spans="1:17">
      <c r="A26" s="113">
        <f>IF(D26="","",COUNTIF(B$13:$B26,"l.c"))</f>
        <v>8</v>
      </c>
      <c r="B26" s="113" t="str">
        <f t="shared" si="1"/>
        <v>l.c</v>
      </c>
      <c r="C26" s="45" t="s">
        <v>114</v>
      </c>
      <c r="D26" s="7" t="s">
        <v>98</v>
      </c>
      <c r="E26" s="44">
        <f>1.2*1.4*0.2*E25</f>
        <v>3.02</v>
      </c>
      <c r="F26" s="38"/>
      <c r="G26" s="38"/>
      <c r="H26" s="38"/>
      <c r="I26" s="38"/>
      <c r="J26" s="38"/>
      <c r="K26" s="38"/>
      <c r="L26" s="38"/>
      <c r="M26" s="38"/>
      <c r="N26" s="38"/>
      <c r="O26" s="38"/>
      <c r="P26" s="38"/>
      <c r="Q26" s="110"/>
    </row>
    <row r="27" spans="1:17">
      <c r="A27" s="113">
        <f>IF(D27="","",COUNTIF(B$13:$B27,"l.c"))</f>
        <v>9</v>
      </c>
      <c r="B27" s="113" t="str">
        <f t="shared" si="1"/>
        <v>l.c</v>
      </c>
      <c r="C27" s="45" t="s">
        <v>115</v>
      </c>
      <c r="D27" s="7" t="s">
        <v>98</v>
      </c>
      <c r="E27" s="44">
        <f>E26*1.25</f>
        <v>3.78</v>
      </c>
      <c r="F27" s="38"/>
      <c r="G27" s="38"/>
      <c r="H27" s="38"/>
      <c r="I27" s="38"/>
      <c r="J27" s="38"/>
      <c r="K27" s="38"/>
      <c r="L27" s="38"/>
      <c r="M27" s="38"/>
      <c r="N27" s="38"/>
      <c r="O27" s="38"/>
      <c r="P27" s="38"/>
      <c r="Q27" s="110"/>
    </row>
    <row r="28" spans="1:17">
      <c r="A28" s="113">
        <f>IF(D28="","",COUNTIF(B$13:$B28,"l.c"))</f>
        <v>10</v>
      </c>
      <c r="B28" s="113" t="str">
        <f t="shared" si="1"/>
        <v>l.c</v>
      </c>
      <c r="C28" s="37" t="s">
        <v>116</v>
      </c>
      <c r="D28" s="7" t="s">
        <v>117</v>
      </c>
      <c r="E28" s="198">
        <v>186.8</v>
      </c>
      <c r="F28" s="38"/>
      <c r="G28" s="38"/>
      <c r="H28" s="38"/>
      <c r="I28" s="38"/>
      <c r="J28" s="38"/>
      <c r="K28" s="38"/>
      <c r="L28" s="38"/>
      <c r="M28" s="38"/>
      <c r="N28" s="38"/>
      <c r="O28" s="38"/>
      <c r="P28" s="38"/>
      <c r="Q28" s="110"/>
    </row>
    <row r="29" spans="1:17">
      <c r="A29" s="113">
        <f>IF(D29="","",COUNTIF(B$13:$B29,"l.c"))</f>
        <v>11</v>
      </c>
      <c r="B29" s="113" t="str">
        <f t="shared" si="1"/>
        <v>l.c</v>
      </c>
      <c r="C29" s="37" t="s">
        <v>118</v>
      </c>
      <c r="D29" s="7" t="s">
        <v>71</v>
      </c>
      <c r="E29" s="44">
        <f>4*E25</f>
        <v>36</v>
      </c>
      <c r="F29" s="38"/>
      <c r="G29" s="38"/>
      <c r="H29" s="38"/>
      <c r="I29" s="38"/>
      <c r="J29" s="38"/>
      <c r="K29" s="38"/>
      <c r="L29" s="38"/>
      <c r="M29" s="38"/>
      <c r="N29" s="38"/>
      <c r="O29" s="38"/>
      <c r="P29" s="38"/>
      <c r="Q29" s="110"/>
    </row>
    <row r="30" spans="1:17">
      <c r="A30" s="113">
        <f>IF(D30="","",COUNTIF(B$13:$B30,"l.c"))</f>
        <v>12</v>
      </c>
      <c r="B30" s="113" t="str">
        <f t="shared" si="1"/>
        <v>l.c</v>
      </c>
      <c r="C30" s="37" t="s">
        <v>119</v>
      </c>
      <c r="D30" s="7" t="s">
        <v>120</v>
      </c>
      <c r="E30" s="44">
        <f>0.3*(1*2+1.2*2)*E25</f>
        <v>11.88</v>
      </c>
      <c r="F30" s="38"/>
      <c r="G30" s="38"/>
      <c r="H30" s="38"/>
      <c r="I30" s="38"/>
      <c r="J30" s="38"/>
      <c r="K30" s="38"/>
      <c r="L30" s="38"/>
      <c r="M30" s="38"/>
      <c r="N30" s="38"/>
      <c r="O30" s="38"/>
      <c r="P30" s="38"/>
      <c r="Q30" s="110"/>
    </row>
    <row r="31" spans="1:17">
      <c r="A31" s="113">
        <f>IF(D31="","",COUNTIF(B$13:$B31,"l.c"))</f>
        <v>13</v>
      </c>
      <c r="B31" s="113" t="str">
        <f t="shared" si="1"/>
        <v>l.c</v>
      </c>
      <c r="C31" s="37" t="s">
        <v>121</v>
      </c>
      <c r="D31" s="7" t="s">
        <v>98</v>
      </c>
      <c r="E31" s="44">
        <f>1*1.2*0.3*E25</f>
        <v>3.24</v>
      </c>
      <c r="F31" s="38"/>
      <c r="G31" s="38"/>
      <c r="H31" s="38"/>
      <c r="I31" s="38"/>
      <c r="J31" s="38"/>
      <c r="K31" s="38"/>
      <c r="L31" s="38"/>
      <c r="M31" s="38"/>
      <c r="N31" s="38"/>
      <c r="O31" s="38"/>
      <c r="P31" s="38"/>
      <c r="Q31" s="110"/>
    </row>
    <row r="32" spans="1:17">
      <c r="A32" s="113" t="str">
        <f>IF(D32="","",COUNTIF(B$13:$B32,"l.c"))</f>
        <v/>
      </c>
      <c r="B32" s="113" t="str">
        <f t="shared" si="1"/>
        <v/>
      </c>
      <c r="C32" s="37"/>
      <c r="D32" s="7"/>
      <c r="E32" s="44"/>
      <c r="F32" s="38"/>
      <c r="G32" s="38"/>
      <c r="H32" s="38"/>
      <c r="I32" s="38"/>
      <c r="J32" s="38"/>
      <c r="K32" s="38"/>
      <c r="L32" s="38"/>
      <c r="M32" s="38"/>
      <c r="N32" s="38"/>
      <c r="O32" s="38"/>
      <c r="P32" s="38"/>
      <c r="Q32" s="110"/>
    </row>
    <row r="33" spans="1:17">
      <c r="A33" s="113"/>
      <c r="B33" s="113"/>
      <c r="C33" s="114" t="s">
        <v>123</v>
      </c>
      <c r="D33" s="115" t="s">
        <v>113</v>
      </c>
      <c r="E33" s="137">
        <v>17</v>
      </c>
      <c r="F33" s="38"/>
      <c r="G33" s="38"/>
      <c r="H33" s="38"/>
      <c r="I33" s="38"/>
      <c r="J33" s="38"/>
      <c r="K33" s="38"/>
      <c r="L33" s="38"/>
      <c r="M33" s="38"/>
      <c r="N33" s="38"/>
      <c r="O33" s="38"/>
      <c r="P33" s="38"/>
      <c r="Q33" s="110"/>
    </row>
    <row r="34" spans="1:17">
      <c r="A34" s="113">
        <f>IF(D34="","",COUNTIF(B$13:$B34,"l.c"))</f>
        <v>14</v>
      </c>
      <c r="B34" s="113" t="str">
        <f t="shared" si="1"/>
        <v>l.c</v>
      </c>
      <c r="C34" s="45" t="s">
        <v>114</v>
      </c>
      <c r="D34" s="7" t="s">
        <v>98</v>
      </c>
      <c r="E34" s="44">
        <f>1.4*1.4*0.2*E33</f>
        <v>6.66</v>
      </c>
      <c r="F34" s="38"/>
      <c r="G34" s="38"/>
      <c r="H34" s="38"/>
      <c r="I34" s="38"/>
      <c r="J34" s="38"/>
      <c r="K34" s="38"/>
      <c r="L34" s="38"/>
      <c r="M34" s="38"/>
      <c r="N34" s="38"/>
      <c r="O34" s="38"/>
      <c r="P34" s="38"/>
      <c r="Q34" s="110"/>
    </row>
    <row r="35" spans="1:17">
      <c r="A35" s="113">
        <f>IF(D35="","",COUNTIF(B$13:$B35,"l.c"))</f>
        <v>15</v>
      </c>
      <c r="B35" s="113" t="str">
        <f t="shared" si="1"/>
        <v>l.c</v>
      </c>
      <c r="C35" s="45" t="s">
        <v>115</v>
      </c>
      <c r="D35" s="7" t="s">
        <v>98</v>
      </c>
      <c r="E35" s="44">
        <f>E34*1.25</f>
        <v>8.33</v>
      </c>
      <c r="F35" s="38"/>
      <c r="G35" s="38"/>
      <c r="H35" s="38"/>
      <c r="I35" s="38"/>
      <c r="J35" s="38"/>
      <c r="K35" s="38"/>
      <c r="L35" s="38"/>
      <c r="M35" s="38"/>
      <c r="N35" s="38"/>
      <c r="O35" s="38"/>
      <c r="P35" s="38"/>
      <c r="Q35" s="110"/>
    </row>
    <row r="36" spans="1:17">
      <c r="A36" s="113">
        <f>IF(D36="","",COUNTIF(B$13:$B36,"l.c"))</f>
        <v>16</v>
      </c>
      <c r="B36" s="113" t="str">
        <f t="shared" si="1"/>
        <v>l.c</v>
      </c>
      <c r="C36" s="37" t="s">
        <v>116</v>
      </c>
      <c r="D36" s="7" t="s">
        <v>117</v>
      </c>
      <c r="E36" s="198">
        <v>442.9</v>
      </c>
      <c r="F36" s="38"/>
      <c r="G36" s="38"/>
      <c r="H36" s="38"/>
      <c r="I36" s="38"/>
      <c r="J36" s="38"/>
      <c r="K36" s="38"/>
      <c r="L36" s="38"/>
      <c r="M36" s="38"/>
      <c r="N36" s="38"/>
      <c r="O36" s="38"/>
      <c r="P36" s="38"/>
      <c r="Q36" s="110"/>
    </row>
    <row r="37" spans="1:17">
      <c r="A37" s="113">
        <f>IF(D37="","",COUNTIF(B$13:$B37,"l.c"))</f>
        <v>17</v>
      </c>
      <c r="B37" s="113" t="str">
        <f t="shared" si="1"/>
        <v>l.c</v>
      </c>
      <c r="C37" s="37" t="s">
        <v>118</v>
      </c>
      <c r="D37" s="7" t="s">
        <v>71</v>
      </c>
      <c r="E37" s="44">
        <f>4*E33</f>
        <v>68</v>
      </c>
      <c r="F37" s="38"/>
      <c r="G37" s="38"/>
      <c r="H37" s="38"/>
      <c r="I37" s="38"/>
      <c r="J37" s="38"/>
      <c r="K37" s="38"/>
      <c r="L37" s="38"/>
      <c r="M37" s="38"/>
      <c r="N37" s="38"/>
      <c r="O37" s="38"/>
      <c r="P37" s="38"/>
      <c r="Q37" s="110"/>
    </row>
    <row r="38" spans="1:17">
      <c r="A38" s="113">
        <f>IF(D38="","",COUNTIF(B$13:$B38,"l.c"))</f>
        <v>18</v>
      </c>
      <c r="B38" s="113" t="str">
        <f t="shared" si="1"/>
        <v>l.c</v>
      </c>
      <c r="C38" s="37" t="s">
        <v>119</v>
      </c>
      <c r="D38" s="7" t="s">
        <v>120</v>
      </c>
      <c r="E38" s="44">
        <f>0.3*(1.2*4)*E33</f>
        <v>24.48</v>
      </c>
      <c r="F38" s="38"/>
      <c r="G38" s="38"/>
      <c r="H38" s="38"/>
      <c r="I38" s="38"/>
      <c r="J38" s="38"/>
      <c r="K38" s="38"/>
      <c r="L38" s="38"/>
      <c r="M38" s="38"/>
      <c r="N38" s="38"/>
      <c r="O38" s="38"/>
      <c r="P38" s="38"/>
      <c r="Q38" s="110"/>
    </row>
    <row r="39" spans="1:17">
      <c r="A39" s="113">
        <f>IF(D39="","",COUNTIF(B$13:$B39,"l.c"))</f>
        <v>19</v>
      </c>
      <c r="B39" s="113" t="str">
        <f t="shared" si="1"/>
        <v>l.c</v>
      </c>
      <c r="C39" s="37" t="s">
        <v>121</v>
      </c>
      <c r="D39" s="7" t="s">
        <v>98</v>
      </c>
      <c r="E39" s="44">
        <f>1.2*1.2*0.3*E33</f>
        <v>7.34</v>
      </c>
      <c r="F39" s="38"/>
      <c r="G39" s="38"/>
      <c r="H39" s="38"/>
      <c r="I39" s="38"/>
      <c r="J39" s="38"/>
      <c r="K39" s="38"/>
      <c r="L39" s="38"/>
      <c r="M39" s="38"/>
      <c r="N39" s="38"/>
      <c r="O39" s="38"/>
      <c r="P39" s="38"/>
      <c r="Q39" s="110"/>
    </row>
    <row r="40" spans="1:17">
      <c r="A40" s="113"/>
      <c r="B40" s="113"/>
      <c r="C40" s="37"/>
      <c r="D40" s="7"/>
      <c r="E40" s="44"/>
      <c r="F40" s="38"/>
      <c r="G40" s="38"/>
      <c r="H40" s="38"/>
      <c r="I40" s="38"/>
      <c r="J40" s="38"/>
      <c r="K40" s="38"/>
      <c r="L40" s="38"/>
      <c r="M40" s="38"/>
      <c r="N40" s="38"/>
      <c r="O40" s="38"/>
      <c r="P40" s="38"/>
      <c r="Q40" s="110"/>
    </row>
    <row r="41" spans="1:17">
      <c r="A41" s="113"/>
      <c r="B41" s="113"/>
      <c r="C41" s="114" t="s">
        <v>124</v>
      </c>
      <c r="D41" s="115" t="s">
        <v>113</v>
      </c>
      <c r="E41" s="137">
        <v>2</v>
      </c>
      <c r="F41" s="38"/>
      <c r="G41" s="38"/>
      <c r="H41" s="38"/>
      <c r="I41" s="38"/>
      <c r="J41" s="38"/>
      <c r="K41" s="38"/>
      <c r="L41" s="38"/>
      <c r="M41" s="38"/>
      <c r="N41" s="38"/>
      <c r="O41" s="38"/>
      <c r="P41" s="38"/>
      <c r="Q41" s="110"/>
    </row>
    <row r="42" spans="1:17">
      <c r="A42" s="113">
        <f>IF(D42="","",COUNTIF(B$13:$B42,"l.c"))</f>
        <v>20</v>
      </c>
      <c r="B42" s="113" t="str">
        <f t="shared" si="1"/>
        <v>l.c</v>
      </c>
      <c r="C42" s="45" t="s">
        <v>114</v>
      </c>
      <c r="D42" s="7" t="s">
        <v>98</v>
      </c>
      <c r="E42" s="44">
        <f>1.7*1.3*0.2*E41</f>
        <v>0.88</v>
      </c>
      <c r="F42" s="38"/>
      <c r="G42" s="38"/>
      <c r="H42" s="38"/>
      <c r="I42" s="38"/>
      <c r="J42" s="38"/>
      <c r="K42" s="38"/>
      <c r="L42" s="38"/>
      <c r="M42" s="38"/>
      <c r="N42" s="38"/>
      <c r="O42" s="38"/>
      <c r="P42" s="38"/>
      <c r="Q42" s="110"/>
    </row>
    <row r="43" spans="1:17">
      <c r="A43" s="113">
        <f>IF(D43="","",COUNTIF(B$13:$B43,"l.c"))</f>
        <v>21</v>
      </c>
      <c r="B43" s="113" t="str">
        <f t="shared" si="1"/>
        <v>l.c</v>
      </c>
      <c r="C43" s="45" t="s">
        <v>115</v>
      </c>
      <c r="D43" s="7" t="s">
        <v>98</v>
      </c>
      <c r="E43" s="44">
        <f>E42*1.25</f>
        <v>1.1000000000000001</v>
      </c>
      <c r="F43" s="38"/>
      <c r="G43" s="38"/>
      <c r="H43" s="38"/>
      <c r="I43" s="38"/>
      <c r="J43" s="38"/>
      <c r="K43" s="38"/>
      <c r="L43" s="38"/>
      <c r="M43" s="38"/>
      <c r="N43" s="38"/>
      <c r="O43" s="38"/>
      <c r="P43" s="38"/>
      <c r="Q43" s="110"/>
    </row>
    <row r="44" spans="1:17">
      <c r="A44" s="113">
        <f>IF(D44="","",COUNTIF(B$13:$B44,"l.c"))</f>
        <v>22</v>
      </c>
      <c r="B44" s="113" t="str">
        <f t="shared" si="1"/>
        <v>l.c</v>
      </c>
      <c r="C44" s="37" t="s">
        <v>116</v>
      </c>
      <c r="D44" s="7" t="s">
        <v>117</v>
      </c>
      <c r="E44" s="198">
        <v>59.4</v>
      </c>
      <c r="F44" s="38"/>
      <c r="G44" s="38"/>
      <c r="H44" s="38"/>
      <c r="I44" s="38"/>
      <c r="J44" s="38"/>
      <c r="K44" s="38"/>
      <c r="L44" s="38"/>
      <c r="M44" s="38"/>
      <c r="N44" s="38"/>
      <c r="O44" s="38"/>
      <c r="P44" s="38"/>
      <c r="Q44" s="110"/>
    </row>
    <row r="45" spans="1:17">
      <c r="A45" s="113">
        <f>IF(D45="","",COUNTIF(B$13:$B45,"l.c"))</f>
        <v>23</v>
      </c>
      <c r="B45" s="113" t="str">
        <f t="shared" si="1"/>
        <v>l.c</v>
      </c>
      <c r="C45" s="37" t="s">
        <v>118</v>
      </c>
      <c r="D45" s="7" t="s">
        <v>71</v>
      </c>
      <c r="E45" s="44">
        <f>E41*8</f>
        <v>16</v>
      </c>
      <c r="F45" s="38"/>
      <c r="G45" s="38"/>
      <c r="H45" s="38"/>
      <c r="I45" s="38"/>
      <c r="J45" s="38"/>
      <c r="K45" s="38"/>
      <c r="L45" s="38"/>
      <c r="M45" s="38"/>
      <c r="N45" s="38"/>
      <c r="O45" s="38"/>
      <c r="P45" s="38"/>
      <c r="Q45" s="110"/>
    </row>
    <row r="46" spans="1:17">
      <c r="A46" s="113">
        <f>IF(D46="","",COUNTIF(B$13:$B46,"l.c"))</f>
        <v>24</v>
      </c>
      <c r="B46" s="113" t="str">
        <f t="shared" si="1"/>
        <v>l.c</v>
      </c>
      <c r="C46" s="37" t="s">
        <v>119</v>
      </c>
      <c r="D46" s="7" t="s">
        <v>120</v>
      </c>
      <c r="E46" s="44">
        <f>(1.5*2+1.1*2)*0.3*E41</f>
        <v>3.12</v>
      </c>
      <c r="F46" s="38"/>
      <c r="G46" s="38"/>
      <c r="H46" s="38"/>
      <c r="I46" s="38"/>
      <c r="J46" s="38"/>
      <c r="K46" s="38"/>
      <c r="L46" s="38"/>
      <c r="M46" s="38"/>
      <c r="N46" s="38"/>
      <c r="O46" s="38"/>
      <c r="P46" s="38"/>
      <c r="Q46" s="110"/>
    </row>
    <row r="47" spans="1:17">
      <c r="A47" s="113">
        <f>IF(D47="","",COUNTIF(B$13:$B47,"l.c"))</f>
        <v>25</v>
      </c>
      <c r="B47" s="113" t="str">
        <f t="shared" si="1"/>
        <v>l.c</v>
      </c>
      <c r="C47" s="37" t="s">
        <v>121</v>
      </c>
      <c r="D47" s="7" t="s">
        <v>98</v>
      </c>
      <c r="E47" s="44">
        <f>1.5*1.1*0.3*E41</f>
        <v>0.99</v>
      </c>
      <c r="F47" s="38"/>
      <c r="G47" s="38"/>
      <c r="H47" s="38"/>
      <c r="I47" s="38"/>
      <c r="J47" s="38"/>
      <c r="K47" s="38"/>
      <c r="L47" s="38"/>
      <c r="M47" s="38"/>
      <c r="N47" s="38"/>
      <c r="O47" s="38"/>
      <c r="P47" s="38"/>
      <c r="Q47" s="110"/>
    </row>
    <row r="48" spans="1:17">
      <c r="A48" s="113"/>
      <c r="B48" s="113"/>
      <c r="C48" s="37"/>
      <c r="D48" s="7"/>
      <c r="E48" s="44"/>
      <c r="F48" s="38"/>
      <c r="G48" s="38"/>
      <c r="H48" s="38"/>
      <c r="I48" s="38"/>
      <c r="J48" s="38"/>
      <c r="K48" s="38"/>
      <c r="L48" s="38"/>
      <c r="M48" s="38"/>
      <c r="N48" s="38"/>
      <c r="O48" s="38"/>
      <c r="P48" s="38"/>
      <c r="Q48" s="110"/>
    </row>
    <row r="49" spans="1:17">
      <c r="A49" s="113"/>
      <c r="B49" s="113"/>
      <c r="C49" s="114" t="s">
        <v>125</v>
      </c>
      <c r="D49" s="115" t="s">
        <v>113</v>
      </c>
      <c r="E49" s="137">
        <v>3</v>
      </c>
      <c r="F49" s="38"/>
      <c r="G49" s="38"/>
      <c r="H49" s="38"/>
      <c r="I49" s="38"/>
      <c r="J49" s="38"/>
      <c r="K49" s="38"/>
      <c r="L49" s="38"/>
      <c r="M49" s="38"/>
      <c r="N49" s="38"/>
      <c r="O49" s="38"/>
      <c r="P49" s="38"/>
      <c r="Q49" s="110"/>
    </row>
    <row r="50" spans="1:17">
      <c r="A50" s="113">
        <f>IF(D50="","",COUNTIF(B$13:$B50,"l.c"))</f>
        <v>26</v>
      </c>
      <c r="B50" s="113" t="str">
        <f t="shared" ref="B50:B55" si="2">IF(D50="","","l.c")</f>
        <v>l.c</v>
      </c>
      <c r="C50" s="45" t="s">
        <v>114</v>
      </c>
      <c r="D50" s="7" t="s">
        <v>98</v>
      </c>
      <c r="E50" s="44">
        <f>0.85*0.85*0.3*E49</f>
        <v>0.65</v>
      </c>
      <c r="F50" s="38"/>
      <c r="G50" s="38"/>
      <c r="H50" s="38"/>
      <c r="I50" s="38"/>
      <c r="J50" s="38"/>
      <c r="K50" s="38"/>
      <c r="L50" s="38"/>
      <c r="M50" s="38"/>
      <c r="N50" s="38"/>
      <c r="O50" s="38"/>
      <c r="P50" s="38"/>
      <c r="Q50" s="110"/>
    </row>
    <row r="51" spans="1:17">
      <c r="A51" s="113">
        <f>IF(D51="","",COUNTIF(B$13:$B51,"l.c"))</f>
        <v>27</v>
      </c>
      <c r="B51" s="113" t="str">
        <f t="shared" si="2"/>
        <v>l.c</v>
      </c>
      <c r="C51" s="45" t="s">
        <v>115</v>
      </c>
      <c r="D51" s="7" t="s">
        <v>98</v>
      </c>
      <c r="E51" s="44">
        <f>E50*1.25</f>
        <v>0.81</v>
      </c>
      <c r="F51" s="38"/>
      <c r="G51" s="38"/>
      <c r="H51" s="38"/>
      <c r="I51" s="38"/>
      <c r="J51" s="38"/>
      <c r="K51" s="38"/>
      <c r="L51" s="38"/>
      <c r="M51" s="38"/>
      <c r="N51" s="38"/>
      <c r="O51" s="38"/>
      <c r="P51" s="38"/>
      <c r="Q51" s="110"/>
    </row>
    <row r="52" spans="1:17">
      <c r="A52" s="113">
        <f>IF(D52="","",COUNTIF(B$13:$B52,"l.c"))</f>
        <v>28</v>
      </c>
      <c r="B52" s="113" t="str">
        <f t="shared" si="2"/>
        <v>l.c</v>
      </c>
      <c r="C52" s="37" t="s">
        <v>116</v>
      </c>
      <c r="D52" s="7" t="s">
        <v>117</v>
      </c>
      <c r="E52" s="198">
        <v>22.66</v>
      </c>
      <c r="F52" s="38"/>
      <c r="G52" s="38"/>
      <c r="H52" s="38"/>
      <c r="I52" s="38"/>
      <c r="J52" s="38"/>
      <c r="K52" s="38"/>
      <c r="L52" s="38"/>
      <c r="M52" s="38"/>
      <c r="N52" s="38"/>
      <c r="O52" s="38"/>
      <c r="P52" s="38"/>
      <c r="Q52" s="110"/>
    </row>
    <row r="53" spans="1:17">
      <c r="A53" s="113">
        <f>IF(D53="","",COUNTIF(B$13:$B53,"l.c"))</f>
        <v>29</v>
      </c>
      <c r="B53" s="113" t="str">
        <f t="shared" si="2"/>
        <v>l.c</v>
      </c>
      <c r="C53" s="37" t="s">
        <v>118</v>
      </c>
      <c r="D53" s="7" t="s">
        <v>71</v>
      </c>
      <c r="E53" s="44">
        <f>4*E49</f>
        <v>12</v>
      </c>
      <c r="F53" s="38"/>
      <c r="G53" s="38"/>
      <c r="H53" s="38"/>
      <c r="I53" s="38"/>
      <c r="J53" s="38"/>
      <c r="K53" s="38"/>
      <c r="L53" s="38"/>
      <c r="M53" s="38"/>
      <c r="N53" s="38"/>
      <c r="O53" s="38"/>
      <c r="P53" s="38"/>
      <c r="Q53" s="110"/>
    </row>
    <row r="54" spans="1:17">
      <c r="A54" s="113">
        <f>IF(D54="","",COUNTIF(B$13:$B54,"l.c"))</f>
        <v>30</v>
      </c>
      <c r="B54" s="113" t="str">
        <f t="shared" si="2"/>
        <v>l.c</v>
      </c>
      <c r="C54" s="37" t="s">
        <v>119</v>
      </c>
      <c r="D54" s="7" t="s">
        <v>120</v>
      </c>
      <c r="E54" s="44">
        <f>(0.65*4)*0.3*E49</f>
        <v>2.34</v>
      </c>
      <c r="F54" s="38"/>
      <c r="G54" s="38"/>
      <c r="H54" s="38"/>
      <c r="I54" s="38"/>
      <c r="J54" s="38"/>
      <c r="K54" s="38"/>
      <c r="L54" s="38"/>
      <c r="M54" s="38"/>
      <c r="N54" s="38"/>
      <c r="O54" s="38"/>
      <c r="P54" s="38"/>
      <c r="Q54" s="110"/>
    </row>
    <row r="55" spans="1:17">
      <c r="A55" s="113">
        <f>IF(D55="","",COUNTIF(B$13:$B55,"l.c"))</f>
        <v>31</v>
      </c>
      <c r="B55" s="113" t="str">
        <f t="shared" si="2"/>
        <v>l.c</v>
      </c>
      <c r="C55" s="37" t="s">
        <v>121</v>
      </c>
      <c r="D55" s="7" t="s">
        <v>98</v>
      </c>
      <c r="E55" s="44">
        <f>0.65*0.65*0.3*E49</f>
        <v>0.38</v>
      </c>
      <c r="F55" s="38"/>
      <c r="G55" s="38"/>
      <c r="H55" s="38"/>
      <c r="I55" s="38"/>
      <c r="J55" s="38"/>
      <c r="K55" s="38"/>
      <c r="L55" s="38"/>
      <c r="M55" s="38"/>
      <c r="N55" s="38"/>
      <c r="O55" s="38"/>
      <c r="P55" s="38"/>
      <c r="Q55" s="110"/>
    </row>
    <row r="56" spans="1:17">
      <c r="A56" s="113" t="str">
        <f>IF(D56="","",COUNTIF(B$13:$B56,"l.c"))</f>
        <v/>
      </c>
      <c r="B56" s="113" t="str">
        <f t="shared" si="1"/>
        <v/>
      </c>
      <c r="C56" s="37"/>
      <c r="D56" s="7"/>
      <c r="E56" s="44"/>
      <c r="F56" s="38"/>
      <c r="G56" s="38"/>
      <c r="H56" s="38"/>
      <c r="I56" s="38"/>
      <c r="J56" s="38"/>
      <c r="K56" s="38"/>
      <c r="L56" s="38"/>
      <c r="M56" s="38"/>
      <c r="N56" s="38"/>
      <c r="O56" s="38"/>
      <c r="P56" s="38"/>
      <c r="Q56" s="110"/>
    </row>
    <row r="57" spans="1:17">
      <c r="A57" s="113"/>
      <c r="B57" s="113"/>
      <c r="C57" s="114" t="s">
        <v>126</v>
      </c>
      <c r="D57" s="115" t="s">
        <v>113</v>
      </c>
      <c r="E57" s="137">
        <v>1</v>
      </c>
      <c r="F57" s="38"/>
      <c r="G57" s="38"/>
      <c r="H57" s="38"/>
      <c r="I57" s="38"/>
      <c r="J57" s="38"/>
      <c r="K57" s="38"/>
      <c r="L57" s="38"/>
      <c r="M57" s="38"/>
      <c r="N57" s="38"/>
      <c r="O57" s="38"/>
      <c r="P57" s="38"/>
      <c r="Q57" s="110"/>
    </row>
    <row r="58" spans="1:17">
      <c r="A58" s="113">
        <f>IF(D58="","",COUNTIF(B$13:$B58,"l.c"))</f>
        <v>32</v>
      </c>
      <c r="B58" s="113" t="str">
        <f t="shared" si="1"/>
        <v>l.c</v>
      </c>
      <c r="C58" s="45" t="s">
        <v>114</v>
      </c>
      <c r="D58" s="7" t="s">
        <v>98</v>
      </c>
      <c r="E58" s="44">
        <f>5.2*3.2*0.2*E57</f>
        <v>3.33</v>
      </c>
      <c r="F58" s="38"/>
      <c r="G58" s="38"/>
      <c r="H58" s="38"/>
      <c r="I58" s="38"/>
      <c r="J58" s="38"/>
      <c r="K58" s="38"/>
      <c r="L58" s="38"/>
      <c r="M58" s="38"/>
      <c r="N58" s="38"/>
      <c r="O58" s="38"/>
      <c r="P58" s="38"/>
      <c r="Q58" s="110"/>
    </row>
    <row r="59" spans="1:17">
      <c r="A59" s="113">
        <f>IF(D59="","",COUNTIF(B$13:$B59,"l.c"))</f>
        <v>33</v>
      </c>
      <c r="B59" s="113" t="str">
        <f t="shared" si="1"/>
        <v>l.c</v>
      </c>
      <c r="C59" s="45" t="s">
        <v>115</v>
      </c>
      <c r="D59" s="7" t="s">
        <v>98</v>
      </c>
      <c r="E59" s="44">
        <f>E58*1.25</f>
        <v>4.16</v>
      </c>
      <c r="F59" s="38"/>
      <c r="G59" s="38"/>
      <c r="H59" s="38"/>
      <c r="I59" s="38"/>
      <c r="J59" s="38"/>
      <c r="K59" s="38"/>
      <c r="L59" s="38"/>
      <c r="M59" s="38"/>
      <c r="N59" s="38"/>
      <c r="O59" s="38"/>
      <c r="P59" s="38"/>
      <c r="Q59" s="110"/>
    </row>
    <row r="60" spans="1:17">
      <c r="A60" s="113">
        <f>IF(D60="","",COUNTIF(B$13:$B60,"l.c"))</f>
        <v>34</v>
      </c>
      <c r="B60" s="113" t="str">
        <f t="shared" si="1"/>
        <v>l.c</v>
      </c>
      <c r="C60" s="37" t="s">
        <v>116</v>
      </c>
      <c r="D60" s="7" t="s">
        <v>117</v>
      </c>
      <c r="E60" s="135">
        <f>261*1.4</f>
        <v>365.4</v>
      </c>
      <c r="F60" s="38"/>
      <c r="G60" s="38"/>
      <c r="H60" s="38"/>
      <c r="I60" s="38"/>
      <c r="J60" s="38"/>
      <c r="K60" s="38"/>
      <c r="L60" s="38"/>
      <c r="M60" s="38"/>
      <c r="N60" s="38"/>
      <c r="O60" s="38"/>
      <c r="P60" s="38"/>
      <c r="Q60" s="110"/>
    </row>
    <row r="61" spans="1:17">
      <c r="A61" s="113">
        <f>IF(D61="","",COUNTIF(B$13:$B61,"l.c"))</f>
        <v>35</v>
      </c>
      <c r="B61" s="113" t="str">
        <f t="shared" si="1"/>
        <v>l.c</v>
      </c>
      <c r="C61" s="37" t="s">
        <v>119</v>
      </c>
      <c r="D61" s="7" t="s">
        <v>120</v>
      </c>
      <c r="E61" s="44">
        <f>0.3*(5*2+3*2)*E57</f>
        <v>4.8</v>
      </c>
      <c r="F61" s="38"/>
      <c r="G61" s="38"/>
      <c r="H61" s="38"/>
      <c r="I61" s="38"/>
      <c r="J61" s="38"/>
      <c r="K61" s="38"/>
      <c r="L61" s="38"/>
      <c r="M61" s="38"/>
      <c r="N61" s="38"/>
      <c r="O61" s="38"/>
      <c r="P61" s="38"/>
      <c r="Q61" s="110"/>
    </row>
    <row r="62" spans="1:17">
      <c r="A62" s="113">
        <f>IF(D62="","",COUNTIF(B$13:$B62,"l.c"))</f>
        <v>36</v>
      </c>
      <c r="B62" s="113" t="str">
        <f t="shared" si="1"/>
        <v>l.c</v>
      </c>
      <c r="C62" s="37" t="s">
        <v>121</v>
      </c>
      <c r="D62" s="7" t="s">
        <v>98</v>
      </c>
      <c r="E62" s="44">
        <f>5*3*0.3*E57</f>
        <v>4.5</v>
      </c>
      <c r="F62" s="38"/>
      <c r="G62" s="38"/>
      <c r="H62" s="38"/>
      <c r="I62" s="38"/>
      <c r="J62" s="38"/>
      <c r="K62" s="38"/>
      <c r="L62" s="38"/>
      <c r="M62" s="38"/>
      <c r="N62" s="38"/>
      <c r="O62" s="38"/>
      <c r="P62" s="38"/>
      <c r="Q62" s="110"/>
    </row>
    <row r="63" spans="1:17">
      <c r="A63" s="113" t="str">
        <f>IF(D63="","",COUNTIF(B$13:$B63,"l.c"))</f>
        <v/>
      </c>
      <c r="B63" s="113" t="str">
        <f t="shared" si="1"/>
        <v/>
      </c>
      <c r="C63" s="37"/>
      <c r="D63" s="7"/>
      <c r="E63" s="44"/>
      <c r="F63" s="38"/>
      <c r="G63" s="38"/>
      <c r="H63" s="38"/>
      <c r="I63" s="38"/>
      <c r="J63" s="38"/>
      <c r="K63" s="38"/>
      <c r="L63" s="38"/>
      <c r="M63" s="38"/>
      <c r="N63" s="38"/>
      <c r="O63" s="38"/>
      <c r="P63" s="38"/>
      <c r="Q63" s="110"/>
    </row>
    <row r="64" spans="1:17">
      <c r="A64" s="113"/>
      <c r="B64" s="113"/>
      <c r="C64" s="114" t="s">
        <v>127</v>
      </c>
      <c r="D64" s="115" t="s">
        <v>68</v>
      </c>
      <c r="E64" s="137">
        <f>36.75</f>
        <v>36.75</v>
      </c>
      <c r="F64" s="38"/>
      <c r="G64" s="38"/>
      <c r="H64" s="38"/>
      <c r="I64" s="38"/>
      <c r="J64" s="38"/>
      <c r="K64" s="38"/>
      <c r="L64" s="38"/>
      <c r="M64" s="38"/>
      <c r="N64" s="38"/>
      <c r="O64" s="38"/>
      <c r="P64" s="38"/>
      <c r="Q64" s="110"/>
    </row>
    <row r="65" spans="1:17">
      <c r="A65" s="113">
        <f>IF(D65="","",COUNTIF(B$13:$B65,"l.c"))</f>
        <v>37</v>
      </c>
      <c r="B65" s="113" t="str">
        <f t="shared" si="1"/>
        <v>l.c</v>
      </c>
      <c r="C65" s="45" t="s">
        <v>114</v>
      </c>
      <c r="D65" s="7" t="s">
        <v>98</v>
      </c>
      <c r="E65" s="44">
        <f>0.8*0.2*E64</f>
        <v>5.88</v>
      </c>
      <c r="F65" s="38"/>
      <c r="G65" s="38"/>
      <c r="H65" s="38"/>
      <c r="I65" s="38"/>
      <c r="J65" s="38"/>
      <c r="K65" s="38"/>
      <c r="L65" s="38"/>
      <c r="M65" s="38"/>
      <c r="N65" s="38"/>
      <c r="O65" s="38"/>
      <c r="P65" s="38"/>
      <c r="Q65" s="110"/>
    </row>
    <row r="66" spans="1:17">
      <c r="A66" s="113">
        <f>IF(D66="","",COUNTIF(B$13:$B66,"l.c"))</f>
        <v>38</v>
      </c>
      <c r="B66" s="113" t="str">
        <f t="shared" si="1"/>
        <v>l.c</v>
      </c>
      <c r="C66" s="45" t="s">
        <v>115</v>
      </c>
      <c r="D66" s="7" t="s">
        <v>98</v>
      </c>
      <c r="E66" s="44">
        <f>E65*1.25</f>
        <v>7.35</v>
      </c>
      <c r="F66" s="38"/>
      <c r="G66" s="38"/>
      <c r="H66" s="38"/>
      <c r="I66" s="38"/>
      <c r="J66" s="38"/>
      <c r="K66" s="38"/>
      <c r="L66" s="38"/>
      <c r="M66" s="38"/>
      <c r="N66" s="38"/>
      <c r="O66" s="38"/>
      <c r="P66" s="38"/>
      <c r="Q66" s="110"/>
    </row>
    <row r="67" spans="1:17">
      <c r="A67" s="113">
        <f>IF(D67="","",COUNTIF(B$13:$B67,"l.c"))</f>
        <v>39</v>
      </c>
      <c r="B67" s="113" t="str">
        <f t="shared" si="1"/>
        <v>l.c</v>
      </c>
      <c r="C67" s="37" t="s">
        <v>116</v>
      </c>
      <c r="D67" s="7" t="s">
        <v>117</v>
      </c>
      <c r="E67" s="198">
        <v>255.08</v>
      </c>
      <c r="F67" s="38"/>
      <c r="G67" s="38"/>
      <c r="H67" s="38"/>
      <c r="I67" s="38"/>
      <c r="J67" s="38"/>
      <c r="K67" s="38"/>
      <c r="L67" s="38"/>
      <c r="M67" s="38"/>
      <c r="N67" s="38"/>
      <c r="O67" s="38"/>
      <c r="P67" s="38"/>
      <c r="Q67" s="110"/>
    </row>
    <row r="68" spans="1:17">
      <c r="A68" s="113">
        <f>IF(D68="","",COUNTIF(B$13:$B68,"l.c"))</f>
        <v>40</v>
      </c>
      <c r="B68" s="113" t="str">
        <f t="shared" si="1"/>
        <v>l.c</v>
      </c>
      <c r="C68" s="37" t="s">
        <v>119</v>
      </c>
      <c r="D68" s="7" t="s">
        <v>120</v>
      </c>
      <c r="E68" s="44">
        <f>E64*2*0.3</f>
        <v>22.05</v>
      </c>
      <c r="F68" s="38"/>
      <c r="G68" s="38"/>
      <c r="H68" s="38"/>
      <c r="I68" s="38"/>
      <c r="J68" s="38"/>
      <c r="K68" s="38"/>
      <c r="L68" s="38"/>
      <c r="M68" s="38"/>
      <c r="N68" s="38"/>
      <c r="O68" s="38"/>
      <c r="P68" s="38"/>
      <c r="Q68" s="110"/>
    </row>
    <row r="69" spans="1:17">
      <c r="A69" s="113">
        <f>IF(D69="","",COUNTIF(B$13:$B69,"l.c"))</f>
        <v>41</v>
      </c>
      <c r="B69" s="113" t="str">
        <f t="shared" si="1"/>
        <v>l.c</v>
      </c>
      <c r="C69" s="37" t="s">
        <v>121</v>
      </c>
      <c r="D69" s="7" t="s">
        <v>98</v>
      </c>
      <c r="E69" s="199">
        <v>6.73</v>
      </c>
      <c r="F69" s="38"/>
      <c r="G69" s="38"/>
      <c r="H69" s="38"/>
      <c r="I69" s="38"/>
      <c r="J69" s="38"/>
      <c r="K69" s="38"/>
      <c r="L69" s="38"/>
      <c r="M69" s="38"/>
      <c r="N69" s="38"/>
      <c r="O69" s="38"/>
      <c r="P69" s="38"/>
      <c r="Q69" s="110"/>
    </row>
    <row r="70" spans="1:17">
      <c r="A70" s="113" t="str">
        <f>IF(D70="","",COUNTIF(B$13:$B70,"l.c"))</f>
        <v/>
      </c>
      <c r="B70" s="113" t="str">
        <f t="shared" si="1"/>
        <v/>
      </c>
      <c r="C70" s="116"/>
      <c r="D70" s="7"/>
      <c r="E70" s="44"/>
      <c r="F70" s="38"/>
      <c r="G70" s="38"/>
      <c r="H70" s="38"/>
      <c r="I70" s="38"/>
      <c r="J70" s="38"/>
      <c r="K70" s="38"/>
      <c r="L70" s="38"/>
      <c r="M70" s="38"/>
      <c r="N70" s="38"/>
      <c r="O70" s="38"/>
      <c r="P70" s="38"/>
      <c r="Q70" s="110"/>
    </row>
    <row r="71" spans="1:17">
      <c r="A71" s="113" t="str">
        <f>IF(D71="","",COUNTIF(B$13:$B71,"l.c"))</f>
        <v/>
      </c>
      <c r="B71" s="113" t="str">
        <f t="shared" si="1"/>
        <v/>
      </c>
      <c r="C71" s="117" t="s">
        <v>128</v>
      </c>
      <c r="D71" s="7"/>
      <c r="E71" s="44"/>
      <c r="F71" s="38"/>
      <c r="G71" s="38"/>
      <c r="H71" s="38"/>
      <c r="I71" s="38"/>
      <c r="J71" s="38"/>
      <c r="K71" s="38"/>
      <c r="L71" s="38"/>
      <c r="M71" s="38"/>
      <c r="N71" s="38"/>
      <c r="O71" s="38"/>
      <c r="P71" s="38"/>
      <c r="Q71" s="110"/>
    </row>
    <row r="72" spans="1:17" ht="34.5">
      <c r="A72" s="113">
        <f>IF(D72="","",COUNTIF(B$13:$B72,"l.c"))</f>
        <v>42</v>
      </c>
      <c r="B72" s="113" t="str">
        <f t="shared" si="1"/>
        <v>l.c</v>
      </c>
      <c r="C72" s="37" t="s">
        <v>129</v>
      </c>
      <c r="D72" s="7" t="s">
        <v>120</v>
      </c>
      <c r="E72" s="199">
        <v>16.16</v>
      </c>
      <c r="F72" s="38"/>
      <c r="G72" s="38"/>
      <c r="H72" s="38"/>
      <c r="I72" s="38"/>
      <c r="J72" s="38"/>
      <c r="K72" s="38"/>
      <c r="L72" s="38"/>
      <c r="M72" s="38"/>
      <c r="N72" s="38"/>
      <c r="O72" s="38"/>
      <c r="P72" s="38"/>
      <c r="Q72" s="110"/>
    </row>
    <row r="73" spans="1:17" ht="23.1">
      <c r="A73" s="113">
        <f>IF(D73="","",COUNTIF(B$13:$B73,"l.c"))</f>
        <v>43</v>
      </c>
      <c r="B73" s="113" t="str">
        <f t="shared" ref="B73" si="3">IF(D73="","","l.c")</f>
        <v>l.c</v>
      </c>
      <c r="C73" s="37" t="s">
        <v>130</v>
      </c>
      <c r="D73" s="7" t="s">
        <v>120</v>
      </c>
      <c r="E73" s="44">
        <f>71</f>
        <v>71</v>
      </c>
      <c r="F73" s="38"/>
      <c r="G73" s="38"/>
      <c r="H73" s="38"/>
      <c r="I73" s="38"/>
      <c r="J73" s="38"/>
      <c r="K73" s="38"/>
      <c r="L73" s="38"/>
      <c r="M73" s="38"/>
      <c r="N73" s="38"/>
      <c r="O73" s="38"/>
      <c r="P73" s="38"/>
      <c r="Q73" s="110"/>
    </row>
    <row r="74" spans="1:17" ht="23.1">
      <c r="A74" s="113">
        <f>IF(D74="","",COUNTIF(B$13:$B74,"l.c"))</f>
        <v>44</v>
      </c>
      <c r="B74" s="113" t="str">
        <f t="shared" si="1"/>
        <v>l.c</v>
      </c>
      <c r="C74" s="37" t="s">
        <v>131</v>
      </c>
      <c r="D74" s="7" t="s">
        <v>68</v>
      </c>
      <c r="E74" s="44">
        <f>158.6-0.9*2-2*3.94-2*3.44-2*2.8-2.2</f>
        <v>134.24</v>
      </c>
      <c r="F74" s="38"/>
      <c r="G74" s="38"/>
      <c r="H74" s="38"/>
      <c r="I74" s="38"/>
      <c r="J74" s="38"/>
      <c r="K74" s="38"/>
      <c r="L74" s="38"/>
      <c r="M74" s="38"/>
      <c r="N74" s="38"/>
      <c r="O74" s="38"/>
      <c r="P74" s="38"/>
      <c r="Q74" s="110"/>
    </row>
    <row r="75" spans="1:17">
      <c r="A75" s="113">
        <f>IF(D75="","",COUNTIF(B$13:$B75,"l.c"))</f>
        <v>45</v>
      </c>
      <c r="B75" s="113" t="str">
        <f t="shared" si="1"/>
        <v>l.c</v>
      </c>
      <c r="C75" s="37" t="s">
        <v>132</v>
      </c>
      <c r="D75" s="7" t="s">
        <v>68</v>
      </c>
      <c r="E75" s="44">
        <f>E74</f>
        <v>134.24</v>
      </c>
      <c r="F75" s="38"/>
      <c r="G75" s="38"/>
      <c r="H75" s="38"/>
      <c r="I75" s="38"/>
      <c r="J75" s="38"/>
      <c r="K75" s="38"/>
      <c r="L75" s="38"/>
      <c r="M75" s="38"/>
      <c r="N75" s="38"/>
      <c r="O75" s="38"/>
      <c r="P75" s="38"/>
      <c r="Q75" s="110"/>
    </row>
    <row r="76" spans="1:17">
      <c r="A76" s="113" t="str">
        <f>IF(D76="","",COUNTIF(B$13:$B76,"l.c"))</f>
        <v/>
      </c>
      <c r="B76" s="113" t="str">
        <f t="shared" si="1"/>
        <v/>
      </c>
      <c r="C76" s="37"/>
      <c r="D76" s="7"/>
      <c r="E76" s="44"/>
      <c r="F76" s="38"/>
      <c r="G76" s="38"/>
      <c r="H76" s="38"/>
      <c r="I76" s="38"/>
      <c r="J76" s="38"/>
      <c r="K76" s="38"/>
      <c r="L76" s="38"/>
      <c r="M76" s="38"/>
      <c r="N76" s="38"/>
      <c r="O76" s="38"/>
      <c r="P76" s="38"/>
      <c r="Q76" s="110"/>
    </row>
    <row r="77" spans="1:17">
      <c r="A77" s="113" t="str">
        <f>IF(D77="","",COUNTIF(B$13:$B77,"l.c"))</f>
        <v/>
      </c>
      <c r="B77" s="113" t="str">
        <f t="shared" si="1"/>
        <v/>
      </c>
      <c r="C77" s="115" t="s">
        <v>133</v>
      </c>
      <c r="D77" s="7"/>
      <c r="E77" s="44"/>
      <c r="F77" s="38"/>
      <c r="G77" s="38"/>
      <c r="H77" s="38"/>
      <c r="I77" s="38"/>
      <c r="J77" s="38"/>
      <c r="K77" s="38"/>
      <c r="L77" s="38"/>
      <c r="M77" s="38"/>
      <c r="N77" s="38"/>
      <c r="O77" s="38"/>
      <c r="P77" s="38"/>
      <c r="Q77" s="110"/>
    </row>
    <row r="78" spans="1:17">
      <c r="A78" s="113">
        <f>IF(D78="","",COUNTIF(B$13:$B78,"l.c"))</f>
        <v>46</v>
      </c>
      <c r="B78" s="113" t="str">
        <f t="shared" ref="B78:B129" si="4">IF(D78="","","l.c")</f>
        <v>l.c</v>
      </c>
      <c r="C78" s="37" t="s">
        <v>134</v>
      </c>
      <c r="D78" s="7" t="s">
        <v>120</v>
      </c>
      <c r="E78" s="44">
        <f>158.6*1</f>
        <v>158.6</v>
      </c>
      <c r="F78" s="38"/>
      <c r="G78" s="38"/>
      <c r="H78" s="38"/>
      <c r="I78" s="38"/>
      <c r="J78" s="38"/>
      <c r="K78" s="38"/>
      <c r="L78" s="38"/>
      <c r="M78" s="38"/>
      <c r="N78" s="38"/>
      <c r="O78" s="38"/>
      <c r="P78" s="38"/>
      <c r="Q78" s="110"/>
    </row>
    <row r="79" spans="1:17" ht="23.1">
      <c r="A79" s="113">
        <f>IF(D79="","",COUNTIF(B$13:$B79,"l.c"))</f>
        <v>47</v>
      </c>
      <c r="B79" s="113" t="str">
        <f t="shared" si="4"/>
        <v>l.c</v>
      </c>
      <c r="C79" s="37" t="s">
        <v>135</v>
      </c>
      <c r="D79" s="7" t="s">
        <v>120</v>
      </c>
      <c r="E79" s="44">
        <f>E78</f>
        <v>158.6</v>
      </c>
      <c r="F79" s="38"/>
      <c r="G79" s="38"/>
      <c r="H79" s="38"/>
      <c r="I79" s="38"/>
      <c r="J79" s="38"/>
      <c r="K79" s="38"/>
      <c r="L79" s="38"/>
      <c r="M79" s="38"/>
      <c r="N79" s="38"/>
      <c r="O79" s="38"/>
      <c r="P79" s="38"/>
      <c r="Q79" s="110"/>
    </row>
    <row r="80" spans="1:17">
      <c r="A80" s="113">
        <f>IF(D80="","",COUNTIF(B$13:$B80,"l.c"))</f>
        <v>48</v>
      </c>
      <c r="B80" s="113" t="str">
        <f t="shared" si="4"/>
        <v>l.c</v>
      </c>
      <c r="C80" s="37" t="s">
        <v>136</v>
      </c>
      <c r="D80" s="7" t="s">
        <v>98</v>
      </c>
      <c r="E80" s="44">
        <f>E78*0.2</f>
        <v>31.72</v>
      </c>
      <c r="F80" s="38"/>
      <c r="G80" s="38"/>
      <c r="H80" s="38"/>
      <c r="I80" s="38"/>
      <c r="J80" s="38"/>
      <c r="K80" s="38"/>
      <c r="L80" s="38"/>
      <c r="M80" s="38"/>
      <c r="N80" s="38"/>
      <c r="O80" s="38"/>
      <c r="P80" s="38"/>
      <c r="Q80" s="110"/>
    </row>
    <row r="81" spans="1:17">
      <c r="A81" s="113">
        <f>IF(D81="","",COUNTIF(B$13:$B81,"l.c"))</f>
        <v>49</v>
      </c>
      <c r="B81" s="113" t="str">
        <f t="shared" si="4"/>
        <v>l.c</v>
      </c>
      <c r="C81" s="37" t="s">
        <v>137</v>
      </c>
      <c r="D81" s="7" t="s">
        <v>98</v>
      </c>
      <c r="E81" s="44">
        <f>E78*0.1</f>
        <v>15.86</v>
      </c>
      <c r="F81" s="38"/>
      <c r="G81" s="38"/>
      <c r="H81" s="38"/>
      <c r="I81" s="38"/>
      <c r="J81" s="38"/>
      <c r="K81" s="38"/>
      <c r="L81" s="38"/>
      <c r="M81" s="38"/>
      <c r="N81" s="38"/>
      <c r="O81" s="38"/>
      <c r="P81" s="38"/>
      <c r="Q81" s="110"/>
    </row>
    <row r="82" spans="1:17">
      <c r="A82" s="113"/>
      <c r="B82" s="113"/>
      <c r="C82" s="37"/>
      <c r="D82" s="7"/>
      <c r="E82" s="44"/>
      <c r="F82" s="38"/>
      <c r="G82" s="38"/>
      <c r="H82" s="38"/>
      <c r="I82" s="38"/>
      <c r="J82" s="38"/>
      <c r="K82" s="38"/>
      <c r="L82" s="38"/>
      <c r="M82" s="38"/>
      <c r="N82" s="38"/>
      <c r="O82" s="38"/>
      <c r="P82" s="38"/>
      <c r="Q82" s="110"/>
    </row>
    <row r="83" spans="1:17">
      <c r="A83" s="113" t="str">
        <f>IF(D83="","",COUNTIF(B$13:$B83,"l.c"))</f>
        <v/>
      </c>
      <c r="B83" s="113" t="str">
        <f t="shared" si="4"/>
        <v/>
      </c>
      <c r="C83" s="43" t="s">
        <v>138</v>
      </c>
      <c r="D83" s="7"/>
      <c r="E83" s="44"/>
      <c r="F83" s="38"/>
      <c r="G83" s="38"/>
      <c r="H83" s="38"/>
      <c r="I83" s="38"/>
      <c r="J83" s="38"/>
      <c r="K83" s="38"/>
      <c r="L83" s="38"/>
      <c r="M83" s="38"/>
      <c r="N83" s="38"/>
      <c r="O83" s="38"/>
      <c r="P83" s="38"/>
      <c r="Q83" s="110"/>
    </row>
    <row r="84" spans="1:17">
      <c r="A84" s="113">
        <f>IF(D84="","",COUNTIF(B$13:$B84,"l.c"))</f>
        <v>50</v>
      </c>
      <c r="B84" s="113" t="str">
        <f t="shared" si="4"/>
        <v>l.c</v>
      </c>
      <c r="C84" s="37" t="s">
        <v>139</v>
      </c>
      <c r="D84" s="7" t="s">
        <v>76</v>
      </c>
      <c r="E84" s="44">
        <v>1</v>
      </c>
      <c r="F84" s="38"/>
      <c r="G84" s="38"/>
      <c r="H84" s="38"/>
      <c r="I84" s="38"/>
      <c r="J84" s="38"/>
      <c r="K84" s="38"/>
      <c r="L84" s="38"/>
      <c r="M84" s="38"/>
      <c r="N84" s="38"/>
      <c r="O84" s="38"/>
      <c r="P84" s="38"/>
      <c r="Q84" s="110"/>
    </row>
    <row r="85" spans="1:17" ht="23.1">
      <c r="A85" s="113">
        <f>IF(D85="","",COUNTIF(B$13:$B85,"l.c"))</f>
        <v>51</v>
      </c>
      <c r="B85" s="113" t="str">
        <f t="shared" si="4"/>
        <v>l.c</v>
      </c>
      <c r="C85" s="37" t="s">
        <v>140</v>
      </c>
      <c r="D85" s="7" t="s">
        <v>117</v>
      </c>
      <c r="E85" s="199">
        <v>10275</v>
      </c>
      <c r="F85" s="38"/>
      <c r="G85" s="38"/>
      <c r="H85" s="38"/>
      <c r="I85" s="38"/>
      <c r="J85" s="38"/>
      <c r="K85" s="38"/>
      <c r="L85" s="38"/>
      <c r="M85" s="38"/>
      <c r="N85" s="38"/>
      <c r="O85" s="38"/>
      <c r="P85" s="38"/>
      <c r="Q85" s="110"/>
    </row>
    <row r="86" spans="1:17" ht="23.1">
      <c r="A86" s="113">
        <f>IF(D86="","",COUNTIF(B$13:$B86,"l.c"))</f>
        <v>52</v>
      </c>
      <c r="B86" s="113" t="str">
        <f t="shared" si="4"/>
        <v>l.c</v>
      </c>
      <c r="C86" s="37" t="s">
        <v>141</v>
      </c>
      <c r="D86" s="7" t="s">
        <v>117</v>
      </c>
      <c r="E86" s="199">
        <f>E85</f>
        <v>10275</v>
      </c>
      <c r="F86" s="38"/>
      <c r="G86" s="38"/>
      <c r="H86" s="38"/>
      <c r="I86" s="38"/>
      <c r="J86" s="38"/>
      <c r="K86" s="38"/>
      <c r="L86" s="38"/>
      <c r="M86" s="38"/>
      <c r="N86" s="38"/>
      <c r="O86" s="38"/>
      <c r="P86" s="38"/>
      <c r="Q86" s="110"/>
    </row>
    <row r="87" spans="1:17" ht="33" customHeight="1">
      <c r="A87" s="113">
        <f>IF(D87="","",COUNTIF(B$13:$B87,"l.c"))</f>
        <v>53</v>
      </c>
      <c r="B87" s="113" t="str">
        <f t="shared" si="4"/>
        <v>l.c</v>
      </c>
      <c r="C87" s="37" t="s">
        <v>142</v>
      </c>
      <c r="D87" s="7" t="s">
        <v>76</v>
      </c>
      <c r="E87" s="44">
        <v>1</v>
      </c>
      <c r="F87" s="38"/>
      <c r="G87" s="38"/>
      <c r="H87" s="38"/>
      <c r="I87" s="38"/>
      <c r="J87" s="38"/>
      <c r="K87" s="38"/>
      <c r="L87" s="38"/>
      <c r="M87" s="38"/>
      <c r="N87" s="38"/>
      <c r="O87" s="38"/>
      <c r="P87" s="38"/>
      <c r="Q87" s="110"/>
    </row>
    <row r="88" spans="1:17" ht="23.1">
      <c r="A88" s="113">
        <f>IF(D88="","",COUNTIF(B$13:$B88,"l.c"))</f>
        <v>54</v>
      </c>
      <c r="B88" s="113" t="str">
        <f t="shared" si="4"/>
        <v>l.c</v>
      </c>
      <c r="C88" s="37" t="s">
        <v>143</v>
      </c>
      <c r="D88" s="7" t="s">
        <v>76</v>
      </c>
      <c r="E88" s="44">
        <v>1</v>
      </c>
      <c r="F88" s="38"/>
      <c r="G88" s="38"/>
      <c r="H88" s="38"/>
      <c r="I88" s="38"/>
      <c r="J88" s="38"/>
      <c r="K88" s="38"/>
      <c r="L88" s="38"/>
      <c r="M88" s="38"/>
      <c r="N88" s="38"/>
      <c r="O88" s="38"/>
      <c r="P88" s="38"/>
      <c r="Q88" s="110"/>
    </row>
    <row r="89" spans="1:17" ht="23.1">
      <c r="A89" s="113">
        <f>IF(D89="","",COUNTIF(B$13:$B89,"l.c"))</f>
        <v>55</v>
      </c>
      <c r="B89" s="113" t="str">
        <f t="shared" si="4"/>
        <v>l.c</v>
      </c>
      <c r="C89" s="37" t="s">
        <v>144</v>
      </c>
      <c r="D89" s="7" t="s">
        <v>113</v>
      </c>
      <c r="E89" s="44">
        <v>51</v>
      </c>
      <c r="F89" s="38"/>
      <c r="G89" s="38"/>
      <c r="H89" s="38"/>
      <c r="I89" s="38"/>
      <c r="J89" s="38"/>
      <c r="K89" s="38"/>
      <c r="L89" s="38"/>
      <c r="M89" s="38"/>
      <c r="N89" s="38"/>
      <c r="O89" s="38"/>
      <c r="P89" s="38"/>
      <c r="Q89" s="110"/>
    </row>
    <row r="90" spans="1:17">
      <c r="A90" s="113">
        <f>IF(D90="","",COUNTIF(B$13:$B90,"l.c"))</f>
        <v>56</v>
      </c>
      <c r="B90" s="113" t="str">
        <f t="shared" ref="B90" si="5">IF(D90="","","l.c")</f>
        <v>l.c</v>
      </c>
      <c r="C90" s="37" t="s">
        <v>145</v>
      </c>
      <c r="D90" s="7" t="s">
        <v>68</v>
      </c>
      <c r="E90" s="199">
        <f>315.44*1.2</f>
        <v>378.53</v>
      </c>
      <c r="F90" s="38"/>
      <c r="G90" s="38"/>
      <c r="H90" s="38"/>
      <c r="I90" s="38"/>
      <c r="J90" s="38"/>
      <c r="K90" s="38"/>
      <c r="L90" s="38"/>
      <c r="M90" s="38"/>
      <c r="N90" s="38"/>
      <c r="O90" s="38"/>
      <c r="P90" s="38"/>
      <c r="Q90" s="110"/>
    </row>
    <row r="91" spans="1:17">
      <c r="A91" s="113" t="str">
        <f>IF(D91="","",COUNTIF(B$13:$B91,"l.c"))</f>
        <v/>
      </c>
      <c r="B91" s="113" t="str">
        <f t="shared" si="4"/>
        <v/>
      </c>
      <c r="C91" s="37"/>
      <c r="D91" s="7"/>
      <c r="E91" s="44"/>
      <c r="F91" s="38"/>
      <c r="G91" s="38"/>
      <c r="H91" s="38"/>
      <c r="I91" s="38"/>
      <c r="J91" s="38"/>
      <c r="K91" s="38"/>
      <c r="L91" s="38"/>
      <c r="M91" s="38"/>
      <c r="N91" s="38"/>
      <c r="O91" s="38"/>
      <c r="P91" s="38"/>
      <c r="Q91" s="110"/>
    </row>
    <row r="92" spans="1:17">
      <c r="A92" s="113" t="str">
        <f>IF(D92="","",COUNTIF(B$13:$B92,"l.c"))</f>
        <v/>
      </c>
      <c r="B92" s="113" t="str">
        <f t="shared" si="4"/>
        <v/>
      </c>
      <c r="C92" s="43" t="s">
        <v>146</v>
      </c>
      <c r="D92" s="7"/>
      <c r="E92" s="44"/>
      <c r="F92" s="38"/>
      <c r="G92" s="38"/>
      <c r="H92" s="38"/>
      <c r="I92" s="38"/>
      <c r="J92" s="38"/>
      <c r="K92" s="38"/>
      <c r="L92" s="38"/>
      <c r="M92" s="38"/>
      <c r="N92" s="38"/>
      <c r="O92" s="38"/>
      <c r="P92" s="38"/>
      <c r="Q92" s="110"/>
    </row>
    <row r="93" spans="1:17">
      <c r="A93" s="113" t="str">
        <f>IF(D93="","",COUNTIF(B$13:$B93,"l.c"))</f>
        <v/>
      </c>
      <c r="B93" s="113" t="str">
        <f t="shared" si="4"/>
        <v/>
      </c>
      <c r="C93" s="43" t="s">
        <v>147</v>
      </c>
      <c r="D93" s="7"/>
      <c r="E93" s="44"/>
      <c r="F93" s="38"/>
      <c r="G93" s="38"/>
      <c r="H93" s="38"/>
      <c r="I93" s="38"/>
      <c r="J93" s="38"/>
      <c r="K93" s="38"/>
      <c r="L93" s="38"/>
      <c r="M93" s="38"/>
      <c r="N93" s="38"/>
      <c r="O93" s="38"/>
      <c r="P93" s="38"/>
      <c r="Q93" s="110"/>
    </row>
    <row r="94" spans="1:17" ht="23.1">
      <c r="A94" s="113">
        <f>IF(D94="","",COUNTIF(B$13:$B94,"l.c"))</f>
        <v>57</v>
      </c>
      <c r="B94" s="113" t="str">
        <f t="shared" ref="B94:B95" si="6">IF(D94="","","l.c")</f>
        <v>l.c</v>
      </c>
      <c r="C94" s="37" t="s">
        <v>148</v>
      </c>
      <c r="D94" s="7" t="s">
        <v>98</v>
      </c>
      <c r="E94" s="199">
        <v>6.42</v>
      </c>
      <c r="F94" s="110"/>
      <c r="G94" s="38"/>
      <c r="H94" s="38"/>
      <c r="I94" s="38"/>
      <c r="J94" s="38"/>
      <c r="K94" s="38"/>
      <c r="L94" s="38"/>
      <c r="M94" s="38"/>
      <c r="N94" s="38"/>
      <c r="O94" s="38"/>
      <c r="P94" s="38"/>
      <c r="Q94" s="110"/>
    </row>
    <row r="95" spans="1:17" ht="23.1">
      <c r="A95" s="113">
        <f>IF(D95="","",COUNTIF(B$13:$B95,"l.c"))</f>
        <v>58</v>
      </c>
      <c r="B95" s="113" t="str">
        <f t="shared" si="6"/>
        <v>l.c</v>
      </c>
      <c r="C95" s="37" t="s">
        <v>149</v>
      </c>
      <c r="D95" s="7" t="s">
        <v>98</v>
      </c>
      <c r="E95" s="199">
        <f>6.64+0.6</f>
        <v>7.24</v>
      </c>
      <c r="F95" s="110"/>
      <c r="G95" s="38"/>
      <c r="H95" s="38"/>
      <c r="I95" s="38"/>
      <c r="J95" s="38"/>
      <c r="K95" s="38"/>
      <c r="L95" s="38"/>
      <c r="M95" s="38"/>
      <c r="N95" s="38"/>
      <c r="O95" s="38"/>
      <c r="P95" s="38"/>
      <c r="Q95" s="110"/>
    </row>
    <row r="96" spans="1:17" ht="23.1">
      <c r="A96" s="113">
        <f>IF(D96="","",COUNTIF(B$13:$B96,"l.c"))</f>
        <v>59</v>
      </c>
      <c r="B96" s="113" t="str">
        <f t="shared" si="4"/>
        <v>l.c</v>
      </c>
      <c r="C96" s="37" t="s">
        <v>150</v>
      </c>
      <c r="D96" s="7" t="s">
        <v>98</v>
      </c>
      <c r="E96" s="199">
        <f>E94+E95</f>
        <v>13.66</v>
      </c>
      <c r="F96" s="110"/>
      <c r="G96" s="38"/>
      <c r="H96" s="38"/>
      <c r="I96" s="38"/>
      <c r="J96" s="38"/>
      <c r="K96" s="38"/>
      <c r="L96" s="38"/>
      <c r="M96" s="38"/>
      <c r="N96" s="38"/>
      <c r="O96" s="38"/>
      <c r="P96" s="38"/>
      <c r="Q96" s="110"/>
    </row>
    <row r="97" spans="1:17" ht="23.1">
      <c r="A97" s="113">
        <f>IF(D97="","",COUNTIF(B$13:$B97,"l.c"))</f>
        <v>60</v>
      </c>
      <c r="B97" s="113" t="str">
        <f t="shared" si="4"/>
        <v>l.c</v>
      </c>
      <c r="C97" s="37" t="s">
        <v>151</v>
      </c>
      <c r="D97" s="7" t="s">
        <v>113</v>
      </c>
      <c r="E97" s="199">
        <v>21</v>
      </c>
      <c r="F97" s="110"/>
      <c r="G97" s="38"/>
      <c r="H97" s="38"/>
      <c r="I97" s="38"/>
      <c r="J97" s="38"/>
      <c r="K97" s="38"/>
      <c r="L97" s="38"/>
      <c r="M97" s="38"/>
      <c r="N97" s="38"/>
      <c r="O97" s="38"/>
      <c r="P97" s="38"/>
      <c r="Q97" s="110"/>
    </row>
    <row r="98" spans="1:17">
      <c r="A98" s="113" t="str">
        <f>IF(D98="","",COUNTIF(B$13:$B98,"l.c"))</f>
        <v/>
      </c>
      <c r="B98" s="113" t="str">
        <f t="shared" si="4"/>
        <v/>
      </c>
      <c r="C98" s="115" t="s">
        <v>152</v>
      </c>
      <c r="D98" s="7"/>
      <c r="E98" s="44"/>
      <c r="F98" s="110"/>
      <c r="G98" s="38"/>
      <c r="H98" s="38"/>
      <c r="I98" s="38"/>
      <c r="J98" s="38"/>
      <c r="K98" s="38"/>
      <c r="L98" s="38"/>
      <c r="M98" s="38"/>
      <c r="N98" s="38"/>
      <c r="O98" s="38"/>
      <c r="P98" s="38"/>
      <c r="Q98" s="110"/>
    </row>
    <row r="99" spans="1:17" ht="23.1">
      <c r="A99" s="113">
        <f>IF(D99="","",COUNTIF(B$13:$B99,"l.c"))</f>
        <v>61</v>
      </c>
      <c r="B99" s="113" t="str">
        <f t="shared" si="4"/>
        <v>l.c</v>
      </c>
      <c r="C99" s="37" t="s">
        <v>153</v>
      </c>
      <c r="D99" s="7" t="s">
        <v>98</v>
      </c>
      <c r="E99" s="44">
        <v>14.14</v>
      </c>
      <c r="F99" s="110"/>
      <c r="G99" s="38"/>
      <c r="H99" s="38"/>
      <c r="I99" s="38"/>
      <c r="J99" s="38"/>
      <c r="K99" s="38"/>
      <c r="L99" s="38"/>
      <c r="M99" s="38"/>
      <c r="N99" s="38"/>
      <c r="O99" s="38"/>
      <c r="P99" s="38"/>
      <c r="Q99" s="110"/>
    </row>
    <row r="100" spans="1:17" ht="23.1">
      <c r="A100" s="113">
        <f>IF(D100="","",COUNTIF(B$13:$B100,"l.c"))</f>
        <v>62</v>
      </c>
      <c r="B100" s="113" t="str">
        <f t="shared" ref="B100" si="7">IF(D100="","","l.c")</f>
        <v>l.c</v>
      </c>
      <c r="C100" s="37" t="s">
        <v>154</v>
      </c>
      <c r="D100" s="7" t="s">
        <v>98</v>
      </c>
      <c r="E100" s="199">
        <v>6.75</v>
      </c>
      <c r="F100" s="110"/>
      <c r="G100" s="38"/>
      <c r="H100" s="38"/>
      <c r="I100" s="38"/>
      <c r="J100" s="38"/>
      <c r="K100" s="38"/>
      <c r="L100" s="38"/>
      <c r="M100" s="38"/>
      <c r="N100" s="38"/>
      <c r="O100" s="38"/>
      <c r="P100" s="38"/>
      <c r="Q100" s="110"/>
    </row>
    <row r="101" spans="1:17" ht="23.1">
      <c r="A101" s="113">
        <f>IF(D101="","",COUNTIF(B$13:$B101,"l.c"))</f>
        <v>63</v>
      </c>
      <c r="B101" s="113" t="str">
        <f t="shared" ref="B101" si="8">IF(D101="","","l.c")</f>
        <v>l.c</v>
      </c>
      <c r="C101" s="37" t="s">
        <v>155</v>
      </c>
      <c r="D101" s="7" t="s">
        <v>98</v>
      </c>
      <c r="E101" s="44">
        <f>1.31</f>
        <v>1.31</v>
      </c>
      <c r="F101" s="110"/>
      <c r="G101" s="38"/>
      <c r="H101" s="38"/>
      <c r="I101" s="38"/>
      <c r="J101" s="38"/>
      <c r="K101" s="38"/>
      <c r="L101" s="38"/>
      <c r="M101" s="38"/>
      <c r="N101" s="38"/>
      <c r="O101" s="38"/>
      <c r="P101" s="38"/>
      <c r="Q101" s="110"/>
    </row>
    <row r="102" spans="1:17" ht="23.1">
      <c r="A102" s="113">
        <f>IF(D102="","",COUNTIF(B$13:$B102,"l.c"))</f>
        <v>64</v>
      </c>
      <c r="B102" s="113" t="str">
        <f t="shared" si="4"/>
        <v>l.c</v>
      </c>
      <c r="C102" s="37" t="s">
        <v>156</v>
      </c>
      <c r="D102" s="7" t="s">
        <v>98</v>
      </c>
      <c r="E102" s="199">
        <f>SUM(E99:E101)</f>
        <v>22.2</v>
      </c>
      <c r="F102" s="110"/>
      <c r="G102" s="38"/>
      <c r="H102" s="38"/>
      <c r="I102" s="38"/>
      <c r="J102" s="38"/>
      <c r="K102" s="38"/>
      <c r="L102" s="38"/>
      <c r="M102" s="38"/>
      <c r="N102" s="38"/>
      <c r="O102" s="38"/>
      <c r="P102" s="38"/>
      <c r="Q102" s="110"/>
    </row>
    <row r="103" spans="1:17" ht="23.1">
      <c r="A103" s="113">
        <f>IF(D103="","",COUNTIF(B$13:$B103,"l.c"))</f>
        <v>65</v>
      </c>
      <c r="B103" s="113" t="str">
        <f t="shared" si="4"/>
        <v>l.c</v>
      </c>
      <c r="C103" s="37" t="s">
        <v>157</v>
      </c>
      <c r="D103" s="7" t="s">
        <v>113</v>
      </c>
      <c r="E103" s="199">
        <v>228</v>
      </c>
      <c r="F103" s="110"/>
      <c r="G103" s="38"/>
      <c r="H103" s="38"/>
      <c r="I103" s="38"/>
      <c r="J103" s="38"/>
      <c r="K103" s="38"/>
      <c r="L103" s="38"/>
      <c r="M103" s="38"/>
      <c r="N103" s="38"/>
      <c r="O103" s="38"/>
      <c r="P103" s="38"/>
      <c r="Q103" s="110"/>
    </row>
    <row r="104" spans="1:17">
      <c r="A104" s="113" t="str">
        <f>IF(D104="","",COUNTIF(B$13:$B104,"l.c"))</f>
        <v/>
      </c>
      <c r="B104" s="113" t="str">
        <f t="shared" si="4"/>
        <v/>
      </c>
      <c r="C104" s="115" t="s">
        <v>158</v>
      </c>
      <c r="D104" s="7"/>
      <c r="E104" s="44"/>
      <c r="F104" s="110"/>
      <c r="G104" s="38"/>
      <c r="H104" s="38"/>
      <c r="I104" s="38"/>
      <c r="J104" s="38"/>
      <c r="K104" s="38"/>
      <c r="L104" s="38"/>
      <c r="M104" s="38"/>
      <c r="N104" s="38"/>
      <c r="O104" s="38"/>
      <c r="P104" s="38"/>
      <c r="Q104" s="110"/>
    </row>
    <row r="105" spans="1:17">
      <c r="A105" s="113">
        <f>IF(D105="","",COUNTIF(B$13:$B105,"l.c"))</f>
        <v>66</v>
      </c>
      <c r="B105" s="113" t="str">
        <f t="shared" si="4"/>
        <v>l.c</v>
      </c>
      <c r="C105" s="37" t="s">
        <v>159</v>
      </c>
      <c r="D105" s="7" t="s">
        <v>98</v>
      </c>
      <c r="E105" s="199">
        <v>7.6</v>
      </c>
      <c r="F105" s="110"/>
      <c r="G105" s="38"/>
      <c r="H105" s="38"/>
      <c r="I105" s="38"/>
      <c r="J105" s="38"/>
      <c r="K105" s="38"/>
      <c r="L105" s="38"/>
      <c r="M105" s="38"/>
      <c r="N105" s="38"/>
      <c r="O105" s="38"/>
      <c r="P105" s="38"/>
      <c r="Q105" s="110"/>
    </row>
    <row r="106" spans="1:17">
      <c r="A106" s="113">
        <f>IF(D106="","",COUNTIF(B$13:$B106,"l.c"))</f>
        <v>67</v>
      </c>
      <c r="B106" s="113" t="str">
        <f t="shared" si="4"/>
        <v>l.c</v>
      </c>
      <c r="C106" s="37" t="s">
        <v>160</v>
      </c>
      <c r="D106" s="7" t="s">
        <v>98</v>
      </c>
      <c r="E106" s="199">
        <f>E105</f>
        <v>7.6</v>
      </c>
      <c r="F106" s="110"/>
      <c r="G106" s="38"/>
      <c r="H106" s="38"/>
      <c r="I106" s="38"/>
      <c r="J106" s="38"/>
      <c r="K106" s="38"/>
      <c r="L106" s="38"/>
      <c r="M106" s="38"/>
      <c r="N106" s="38"/>
      <c r="O106" s="38"/>
      <c r="P106" s="38"/>
      <c r="Q106" s="110"/>
    </row>
    <row r="107" spans="1:17">
      <c r="A107" s="113">
        <f>IF(D107="","",COUNTIF(B$13:$B107,"l.c"))</f>
        <v>68</v>
      </c>
      <c r="B107" s="113" t="str">
        <f t="shared" si="4"/>
        <v>l.c</v>
      </c>
      <c r="C107" s="37" t="s">
        <v>161</v>
      </c>
      <c r="D107" s="7" t="str">
        <f>D105</f>
        <v>m3</v>
      </c>
      <c r="E107" s="199">
        <f>E105</f>
        <v>7.6</v>
      </c>
      <c r="F107" s="110"/>
      <c r="G107" s="38"/>
      <c r="H107" s="38"/>
      <c r="I107" s="38"/>
      <c r="J107" s="38"/>
      <c r="K107" s="38"/>
      <c r="L107" s="38"/>
      <c r="M107" s="38"/>
      <c r="N107" s="38"/>
      <c r="O107" s="38"/>
      <c r="P107" s="38"/>
      <c r="Q107" s="110"/>
    </row>
    <row r="108" spans="1:17">
      <c r="A108" s="113" t="str">
        <f>IF(D108="","",COUNTIF(B$13:$B108,"l.c"))</f>
        <v/>
      </c>
      <c r="B108" s="113" t="str">
        <f t="shared" si="4"/>
        <v/>
      </c>
      <c r="C108" s="115" t="s">
        <v>162</v>
      </c>
      <c r="D108" s="7"/>
      <c r="E108" s="44"/>
      <c r="F108" s="38"/>
      <c r="G108" s="38"/>
      <c r="H108" s="38"/>
      <c r="I108" s="38"/>
      <c r="J108" s="38"/>
      <c r="K108" s="38"/>
      <c r="L108" s="38"/>
      <c r="M108" s="38"/>
      <c r="N108" s="38"/>
      <c r="O108" s="38"/>
      <c r="P108" s="38"/>
      <c r="Q108" s="110"/>
    </row>
    <row r="109" spans="1:17" ht="23.1">
      <c r="A109" s="113">
        <f>IF(D109="","",COUNTIF(B$13:$B109,"l.c"))</f>
        <v>69</v>
      </c>
      <c r="B109" s="113" t="str">
        <f t="shared" si="4"/>
        <v>l.c</v>
      </c>
      <c r="C109" s="37" t="s">
        <v>163</v>
      </c>
      <c r="D109" s="7" t="s">
        <v>120</v>
      </c>
      <c r="E109" s="199">
        <f>5.5*10.8</f>
        <v>59.4</v>
      </c>
      <c r="F109" s="38"/>
      <c r="G109" s="38"/>
      <c r="H109" s="38"/>
      <c r="I109" s="38"/>
      <c r="J109" s="38"/>
      <c r="K109" s="38"/>
      <c r="L109" s="38"/>
      <c r="M109" s="38"/>
      <c r="N109" s="38"/>
      <c r="O109" s="38"/>
      <c r="P109" s="38"/>
      <c r="Q109" s="110"/>
    </row>
    <row r="110" spans="1:17" ht="23.1">
      <c r="A110" s="200">
        <v>70</v>
      </c>
      <c r="B110" s="200"/>
      <c r="C110" s="201" t="s">
        <v>164</v>
      </c>
      <c r="D110" s="202" t="s">
        <v>120</v>
      </c>
      <c r="E110" s="199">
        <f>884-E109</f>
        <v>824.6</v>
      </c>
      <c r="F110" s="38"/>
      <c r="G110" s="38"/>
      <c r="H110" s="38"/>
      <c r="I110" s="38"/>
      <c r="J110" s="38"/>
      <c r="K110" s="38"/>
      <c r="L110" s="38"/>
      <c r="M110" s="38"/>
      <c r="N110" s="38"/>
      <c r="O110" s="38"/>
      <c r="P110" s="38"/>
      <c r="Q110" s="110"/>
    </row>
    <row r="111" spans="1:17">
      <c r="A111" s="113">
        <v>71</v>
      </c>
      <c r="B111" s="113" t="str">
        <f t="shared" si="4"/>
        <v>l.c</v>
      </c>
      <c r="C111" s="37" t="s">
        <v>165</v>
      </c>
      <c r="D111" s="7" t="s">
        <v>68</v>
      </c>
      <c r="E111" s="44">
        <f>27.5*2+40.8*2</f>
        <v>136.6</v>
      </c>
      <c r="F111" s="38"/>
      <c r="G111" s="38"/>
      <c r="H111" s="38"/>
      <c r="I111" s="38"/>
      <c r="J111" s="38"/>
      <c r="K111" s="38"/>
      <c r="L111" s="38"/>
      <c r="M111" s="38"/>
      <c r="N111" s="38"/>
      <c r="O111" s="38"/>
      <c r="P111" s="38"/>
      <c r="Q111" s="110"/>
    </row>
    <row r="112" spans="1:17">
      <c r="A112" s="113">
        <v>72</v>
      </c>
      <c r="B112" s="113" t="str">
        <f t="shared" si="4"/>
        <v>l.c</v>
      </c>
      <c r="C112" s="45" t="s">
        <v>166</v>
      </c>
      <c r="D112" s="118" t="s">
        <v>120</v>
      </c>
      <c r="E112" s="119">
        <f>3.6*30.1</f>
        <v>108.36</v>
      </c>
      <c r="F112" s="38"/>
      <c r="G112" s="38"/>
      <c r="H112" s="38"/>
      <c r="I112" s="38"/>
      <c r="J112" s="38"/>
      <c r="K112" s="38"/>
      <c r="L112" s="38"/>
      <c r="M112" s="38"/>
      <c r="N112" s="38"/>
      <c r="O112" s="38"/>
      <c r="P112" s="38"/>
      <c r="Q112" s="110"/>
    </row>
    <row r="113" spans="1:18">
      <c r="A113" s="113">
        <v>73</v>
      </c>
      <c r="B113" s="113" t="str">
        <f t="shared" si="4"/>
        <v>l.c</v>
      </c>
      <c r="C113" s="45" t="s">
        <v>167</v>
      </c>
      <c r="D113" s="118" t="s">
        <v>68</v>
      </c>
      <c r="E113" s="119">
        <f>10.7</f>
        <v>10.7</v>
      </c>
      <c r="F113" s="38"/>
      <c r="G113" s="38"/>
      <c r="H113" s="38"/>
      <c r="I113" s="38"/>
      <c r="J113" s="38"/>
      <c r="K113" s="38"/>
      <c r="L113" s="38"/>
      <c r="M113" s="38"/>
      <c r="N113" s="38"/>
      <c r="O113" s="38"/>
      <c r="P113" s="38"/>
      <c r="Q113" s="110"/>
    </row>
    <row r="114" spans="1:18">
      <c r="A114" s="113">
        <v>74</v>
      </c>
      <c r="B114" s="113" t="str">
        <f t="shared" ref="B114" si="9">IF(D114="","","l.c")</f>
        <v>l.c</v>
      </c>
      <c r="C114" s="45" t="s">
        <v>168</v>
      </c>
      <c r="D114" s="118" t="s">
        <v>68</v>
      </c>
      <c r="E114" s="119">
        <f>10.8</f>
        <v>10.8</v>
      </c>
      <c r="F114" s="38"/>
      <c r="G114" s="38"/>
      <c r="H114" s="38"/>
      <c r="I114" s="38"/>
      <c r="J114" s="38"/>
      <c r="K114" s="38"/>
      <c r="L114" s="38"/>
      <c r="M114" s="38"/>
      <c r="N114" s="38"/>
      <c r="O114" s="38"/>
      <c r="P114" s="38"/>
      <c r="Q114" s="110"/>
    </row>
    <row r="115" spans="1:18">
      <c r="A115" s="113">
        <v>75</v>
      </c>
      <c r="B115" s="113" t="str">
        <f t="shared" ref="B115:B116" si="10">IF(D115="","","l.c")</f>
        <v>l.c</v>
      </c>
      <c r="C115" s="45" t="s">
        <v>169</v>
      </c>
      <c r="D115" s="118" t="s">
        <v>68</v>
      </c>
      <c r="E115" s="119">
        <v>10.8</v>
      </c>
      <c r="F115" s="38"/>
      <c r="G115" s="38"/>
      <c r="H115" s="38"/>
      <c r="I115" s="38"/>
      <c r="J115" s="38"/>
      <c r="K115" s="38"/>
      <c r="L115" s="38"/>
      <c r="M115" s="38"/>
      <c r="N115" s="38"/>
      <c r="O115" s="38"/>
      <c r="P115" s="38"/>
      <c r="Q115" s="110"/>
    </row>
    <row r="116" spans="1:18">
      <c r="A116" s="113">
        <v>76</v>
      </c>
      <c r="B116" s="113" t="str">
        <f t="shared" si="10"/>
        <v>l.c</v>
      </c>
      <c r="C116" s="45" t="s">
        <v>170</v>
      </c>
      <c r="D116" s="118" t="s">
        <v>68</v>
      </c>
      <c r="E116" s="119">
        <f>3.5*2</f>
        <v>7</v>
      </c>
      <c r="F116" s="38"/>
      <c r="G116" s="38"/>
      <c r="H116" s="38"/>
      <c r="I116" s="38"/>
      <c r="J116" s="38"/>
      <c r="K116" s="38"/>
      <c r="L116" s="38"/>
      <c r="M116" s="38"/>
      <c r="N116" s="38"/>
      <c r="O116" s="38"/>
      <c r="P116" s="38"/>
      <c r="Q116" s="110"/>
    </row>
    <row r="117" spans="1:18">
      <c r="A117" s="113"/>
      <c r="B117" s="113" t="str">
        <f t="shared" si="4"/>
        <v/>
      </c>
      <c r="C117" s="45"/>
      <c r="D117" s="118"/>
      <c r="E117" s="119"/>
      <c r="F117" s="38"/>
      <c r="G117" s="38"/>
      <c r="H117" s="38"/>
      <c r="I117" s="38"/>
      <c r="J117" s="38"/>
      <c r="K117" s="38"/>
      <c r="L117" s="38"/>
      <c r="M117" s="38"/>
      <c r="N117" s="38"/>
      <c r="O117" s="38"/>
      <c r="P117" s="38"/>
      <c r="Q117" s="110"/>
    </row>
    <row r="118" spans="1:18">
      <c r="A118" s="113" t="str">
        <f>IF(D118="","",COUNTIF(B$13:$B118,"l.c"))</f>
        <v/>
      </c>
      <c r="B118" s="113" t="str">
        <f t="shared" si="4"/>
        <v/>
      </c>
      <c r="C118" s="115" t="s">
        <v>171</v>
      </c>
      <c r="D118" s="7"/>
      <c r="E118" s="44"/>
      <c r="F118" s="38"/>
      <c r="G118" s="38"/>
      <c r="H118" s="38"/>
      <c r="I118" s="38"/>
      <c r="J118" s="38"/>
      <c r="K118" s="38"/>
      <c r="L118" s="38"/>
      <c r="M118" s="38"/>
      <c r="N118" s="38"/>
      <c r="O118" s="38"/>
      <c r="P118" s="38"/>
      <c r="Q118" s="110"/>
    </row>
    <row r="119" spans="1:18">
      <c r="A119" s="113" t="str">
        <f>IF(D119="","",COUNTIF(B$13:$B119,"l.c"))</f>
        <v/>
      </c>
      <c r="B119" s="113" t="str">
        <f t="shared" si="4"/>
        <v/>
      </c>
      <c r="C119" s="114" t="s">
        <v>172</v>
      </c>
      <c r="D119" s="7"/>
      <c r="E119" s="44"/>
      <c r="F119" s="38"/>
      <c r="G119" s="38"/>
      <c r="H119" s="38"/>
      <c r="I119" s="38"/>
      <c r="J119" s="38"/>
      <c r="K119" s="38"/>
      <c r="L119" s="38"/>
      <c r="M119" s="38"/>
      <c r="N119" s="38"/>
      <c r="O119" s="38"/>
      <c r="P119" s="38"/>
      <c r="Q119" s="110"/>
    </row>
    <row r="120" spans="1:18" ht="34.5">
      <c r="A120" s="113">
        <v>77</v>
      </c>
      <c r="B120" s="113" t="str">
        <f t="shared" si="4"/>
        <v>l.c</v>
      </c>
      <c r="C120" s="37" t="s">
        <v>173</v>
      </c>
      <c r="D120" s="7" t="s">
        <v>120</v>
      </c>
      <c r="E120" s="44">
        <f>41</f>
        <v>41</v>
      </c>
      <c r="F120" s="38"/>
      <c r="G120" s="38"/>
      <c r="H120" s="38"/>
      <c r="I120" s="38"/>
      <c r="J120" s="38"/>
      <c r="K120" s="38"/>
      <c r="L120" s="38"/>
      <c r="M120" s="38"/>
      <c r="N120" s="38"/>
      <c r="O120" s="38"/>
      <c r="P120" s="38"/>
      <c r="Q120" s="110"/>
      <c r="R120" s="110"/>
    </row>
    <row r="121" spans="1:18">
      <c r="A121" s="113" t="str">
        <f>IF(D121="","",COUNTIF(B$13:$B121,"l.c"))</f>
        <v/>
      </c>
      <c r="B121" s="113" t="str">
        <f t="shared" ref="B121:B122" si="11">IF(D121="","","l.c")</f>
        <v/>
      </c>
      <c r="C121" s="114" t="s">
        <v>174</v>
      </c>
      <c r="D121" s="7"/>
      <c r="E121" s="44"/>
      <c r="F121" s="38"/>
      <c r="G121" s="38"/>
      <c r="H121" s="38"/>
      <c r="I121" s="38"/>
      <c r="J121" s="38"/>
      <c r="K121" s="38"/>
      <c r="L121" s="38"/>
      <c r="M121" s="38"/>
      <c r="N121" s="38"/>
      <c r="O121" s="38"/>
      <c r="P121" s="38"/>
      <c r="Q121" s="110"/>
    </row>
    <row r="122" spans="1:18" ht="34.5">
      <c r="A122" s="113">
        <v>78</v>
      </c>
      <c r="B122" s="113" t="str">
        <f t="shared" si="11"/>
        <v>l.c</v>
      </c>
      <c r="C122" s="37" t="s">
        <v>175</v>
      </c>
      <c r="D122" s="7" t="s">
        <v>120</v>
      </c>
      <c r="E122" s="44">
        <f>103</f>
        <v>103</v>
      </c>
      <c r="F122" s="38"/>
      <c r="G122" s="38"/>
      <c r="H122" s="38"/>
      <c r="I122" s="38"/>
      <c r="J122" s="38"/>
      <c r="K122" s="38"/>
      <c r="L122" s="38"/>
      <c r="M122" s="38"/>
      <c r="N122" s="38"/>
      <c r="O122" s="38"/>
      <c r="P122" s="38"/>
      <c r="Q122" s="110"/>
      <c r="R122" s="110"/>
    </row>
    <row r="123" spans="1:18">
      <c r="A123" s="113" t="str">
        <f>IF(D123="","",COUNTIF(B$13:$B123,"l.c"))</f>
        <v/>
      </c>
      <c r="B123" s="113" t="str">
        <f t="shared" si="4"/>
        <v/>
      </c>
      <c r="C123" s="37"/>
      <c r="D123" s="118"/>
      <c r="E123" s="119"/>
      <c r="F123" s="38"/>
      <c r="G123" s="38"/>
      <c r="H123" s="38"/>
      <c r="I123" s="38"/>
      <c r="J123" s="38"/>
      <c r="K123" s="38"/>
      <c r="L123" s="38"/>
      <c r="M123" s="38"/>
      <c r="N123" s="38"/>
      <c r="O123" s="38"/>
      <c r="P123" s="38"/>
      <c r="Q123" s="110"/>
    </row>
    <row r="124" spans="1:18">
      <c r="A124" s="113" t="str">
        <f>IF(D124="","",COUNTIF(B$13:$B124,"l.c"))</f>
        <v/>
      </c>
      <c r="B124" s="113" t="str">
        <f t="shared" si="4"/>
        <v/>
      </c>
      <c r="C124" s="114" t="s">
        <v>176</v>
      </c>
      <c r="D124" s="7"/>
      <c r="E124" s="44"/>
      <c r="F124" s="38"/>
      <c r="G124" s="38"/>
      <c r="H124" s="38"/>
      <c r="I124" s="38"/>
      <c r="J124" s="38"/>
      <c r="K124" s="38"/>
      <c r="L124" s="38"/>
      <c r="M124" s="38"/>
      <c r="N124" s="38"/>
      <c r="O124" s="38"/>
      <c r="P124" s="38"/>
      <c r="Q124" s="110"/>
    </row>
    <row r="125" spans="1:18">
      <c r="A125" s="113">
        <v>79</v>
      </c>
      <c r="B125" s="113" t="str">
        <f t="shared" si="4"/>
        <v>l.c</v>
      </c>
      <c r="C125" s="37" t="s">
        <v>177</v>
      </c>
      <c r="D125" s="7" t="s">
        <v>120</v>
      </c>
      <c r="E125" s="44">
        <v>66</v>
      </c>
      <c r="F125" s="38"/>
      <c r="G125" s="38"/>
      <c r="H125" s="38"/>
      <c r="I125" s="38"/>
      <c r="J125" s="38"/>
      <c r="K125" s="38"/>
      <c r="L125" s="38"/>
      <c r="M125" s="38"/>
      <c r="N125" s="38"/>
      <c r="O125" s="38"/>
      <c r="P125" s="38"/>
      <c r="Q125" s="110"/>
    </row>
    <row r="126" spans="1:18">
      <c r="A126" s="113" t="str">
        <f>IF(D126="","",COUNTIF(B$13:$B126,"l.c"))</f>
        <v/>
      </c>
      <c r="B126" s="113" t="str">
        <f t="shared" si="4"/>
        <v/>
      </c>
      <c r="C126" s="37"/>
      <c r="D126" s="118"/>
      <c r="E126" s="119"/>
      <c r="F126" s="38"/>
      <c r="G126" s="38"/>
      <c r="H126" s="38"/>
      <c r="I126" s="38"/>
      <c r="J126" s="38"/>
      <c r="K126" s="38"/>
      <c r="L126" s="38"/>
      <c r="M126" s="38"/>
      <c r="N126" s="38"/>
      <c r="O126" s="38"/>
      <c r="P126" s="38"/>
      <c r="Q126" s="110"/>
    </row>
    <row r="127" spans="1:18">
      <c r="A127" s="113" t="str">
        <f>IF(D127="","",COUNTIF(B$13:$B127,"l.c"))</f>
        <v/>
      </c>
      <c r="B127" s="113" t="str">
        <f t="shared" si="4"/>
        <v/>
      </c>
      <c r="C127" s="114" t="s">
        <v>178</v>
      </c>
      <c r="D127" s="7"/>
      <c r="E127" s="44"/>
      <c r="F127" s="38"/>
      <c r="G127" s="38"/>
      <c r="H127" s="38"/>
      <c r="I127" s="38"/>
      <c r="J127" s="38"/>
      <c r="K127" s="38"/>
      <c r="L127" s="38"/>
      <c r="M127" s="38"/>
      <c r="N127" s="38"/>
      <c r="O127" s="38"/>
      <c r="P127" s="38"/>
      <c r="Q127" s="110"/>
    </row>
    <row r="128" spans="1:18" ht="34.5">
      <c r="A128" s="113">
        <v>80</v>
      </c>
      <c r="B128" s="113" t="str">
        <f t="shared" si="4"/>
        <v>l.c</v>
      </c>
      <c r="C128" s="37" t="s">
        <v>179</v>
      </c>
      <c r="D128" s="202" t="s">
        <v>98</v>
      </c>
      <c r="E128" s="199">
        <f>52*0.19</f>
        <v>9.8800000000000008</v>
      </c>
      <c r="F128" s="38"/>
      <c r="G128" s="38"/>
      <c r="H128" s="38"/>
      <c r="I128" s="38"/>
      <c r="J128" s="38"/>
      <c r="K128" s="38"/>
      <c r="L128" s="38"/>
      <c r="M128" s="38"/>
      <c r="N128" s="38"/>
      <c r="O128" s="38"/>
      <c r="P128" s="38"/>
      <c r="Q128" s="110"/>
    </row>
    <row r="129" spans="1:17" ht="23.1">
      <c r="A129" s="113">
        <v>81</v>
      </c>
      <c r="B129" s="113" t="str">
        <f t="shared" si="4"/>
        <v>l.c</v>
      </c>
      <c r="C129" s="37" t="s">
        <v>180</v>
      </c>
      <c r="D129" s="7" t="s">
        <v>98</v>
      </c>
      <c r="E129" s="199">
        <f>E128*0.6</f>
        <v>5.93</v>
      </c>
      <c r="F129" s="38"/>
      <c r="G129" s="38"/>
      <c r="H129" s="38"/>
      <c r="I129" s="38"/>
      <c r="J129" s="38"/>
      <c r="K129" s="38"/>
      <c r="L129" s="38"/>
      <c r="M129" s="38"/>
      <c r="N129" s="38"/>
      <c r="O129" s="38"/>
      <c r="P129" s="38"/>
      <c r="Q129" s="110"/>
    </row>
    <row r="130" spans="1:17">
      <c r="A130" s="113" t="str">
        <f>IF(D130="","",COUNTIF(B$13:$B130,"l.c"))</f>
        <v/>
      </c>
      <c r="B130" s="113" t="str">
        <f t="shared" ref="B130:B134" si="12">IF(D130="","","l.c")</f>
        <v/>
      </c>
      <c r="C130" s="37"/>
      <c r="D130" s="118"/>
      <c r="E130" s="119"/>
      <c r="F130" s="38"/>
      <c r="G130" s="38"/>
      <c r="H130" s="38"/>
      <c r="I130" s="38"/>
      <c r="J130" s="38"/>
      <c r="K130" s="38"/>
      <c r="L130" s="38"/>
      <c r="M130" s="38"/>
      <c r="N130" s="38"/>
      <c r="O130" s="38"/>
      <c r="P130" s="38"/>
      <c r="Q130" s="110"/>
    </row>
    <row r="131" spans="1:17">
      <c r="A131" s="113" t="str">
        <f>IF(D131="","",COUNTIF(B$13:$B131,"l.c"))</f>
        <v/>
      </c>
      <c r="B131" s="113" t="str">
        <f t="shared" si="12"/>
        <v/>
      </c>
      <c r="C131" s="114" t="s">
        <v>181</v>
      </c>
      <c r="D131" s="7"/>
      <c r="E131" s="44"/>
      <c r="F131" s="38"/>
      <c r="G131" s="38"/>
      <c r="H131" s="38"/>
      <c r="I131" s="38"/>
      <c r="J131" s="38"/>
      <c r="K131" s="38"/>
      <c r="L131" s="38"/>
      <c r="M131" s="38"/>
      <c r="N131" s="38"/>
      <c r="O131" s="38"/>
      <c r="P131" s="38"/>
      <c r="Q131" s="110"/>
    </row>
    <row r="132" spans="1:17" ht="23.1">
      <c r="A132" s="113">
        <v>82</v>
      </c>
      <c r="B132" s="113" t="str">
        <f t="shared" si="12"/>
        <v>l.c</v>
      </c>
      <c r="C132" s="37" t="s">
        <v>182</v>
      </c>
      <c r="D132" s="7" t="s">
        <v>98</v>
      </c>
      <c r="E132" s="44">
        <f>15*0.15</f>
        <v>2.25</v>
      </c>
      <c r="F132" s="38"/>
      <c r="G132" s="38"/>
      <c r="H132" s="38"/>
      <c r="I132" s="38"/>
      <c r="J132" s="38"/>
      <c r="K132" s="38"/>
      <c r="L132" s="38"/>
      <c r="M132" s="38"/>
      <c r="N132" s="38"/>
      <c r="O132" s="38"/>
      <c r="P132" s="38"/>
      <c r="Q132" s="110"/>
    </row>
    <row r="133" spans="1:17">
      <c r="A133" s="113">
        <f>A132+1</f>
        <v>83</v>
      </c>
      <c r="B133" s="113" t="str">
        <f t="shared" si="12"/>
        <v>l.c</v>
      </c>
      <c r="C133" s="37" t="s">
        <v>183</v>
      </c>
      <c r="D133" s="7" t="s">
        <v>120</v>
      </c>
      <c r="E133" s="44">
        <f>15*2</f>
        <v>30</v>
      </c>
      <c r="F133" s="38"/>
      <c r="G133" s="38"/>
      <c r="H133" s="38"/>
      <c r="I133" s="38"/>
      <c r="J133" s="38"/>
      <c r="K133" s="38"/>
      <c r="L133" s="38"/>
      <c r="M133" s="38"/>
      <c r="N133" s="38"/>
      <c r="O133" s="38"/>
      <c r="P133" s="38"/>
      <c r="Q133" s="110"/>
    </row>
    <row r="134" spans="1:17">
      <c r="A134" s="113">
        <f>A133+1</f>
        <v>84</v>
      </c>
      <c r="B134" s="113" t="str">
        <f t="shared" si="12"/>
        <v>l.c</v>
      </c>
      <c r="C134" s="37" t="s">
        <v>184</v>
      </c>
      <c r="D134" s="7" t="s">
        <v>120</v>
      </c>
      <c r="E134" s="44">
        <f>15</f>
        <v>15</v>
      </c>
      <c r="F134" s="38"/>
      <c r="G134" s="38"/>
      <c r="H134" s="38"/>
      <c r="I134" s="38"/>
      <c r="J134" s="38"/>
      <c r="K134" s="38"/>
      <c r="L134" s="38"/>
      <c r="M134" s="38"/>
      <c r="N134" s="38"/>
      <c r="O134" s="38"/>
      <c r="P134" s="38"/>
      <c r="Q134" s="110"/>
    </row>
    <row r="135" spans="1:17" ht="23.1">
      <c r="A135" s="113">
        <f>A134+1</f>
        <v>85</v>
      </c>
      <c r="B135" s="113" t="str">
        <f t="shared" ref="B135" si="13">IF(D135="","","l.c")</f>
        <v>l.c</v>
      </c>
      <c r="C135" s="37" t="s">
        <v>185</v>
      </c>
      <c r="D135" s="7" t="s">
        <v>120</v>
      </c>
      <c r="E135" s="44">
        <f>15</f>
        <v>15</v>
      </c>
      <c r="F135" s="38"/>
      <c r="G135" s="38"/>
      <c r="H135" s="38"/>
      <c r="I135" s="38"/>
      <c r="J135" s="38"/>
      <c r="K135" s="38"/>
      <c r="L135" s="38"/>
      <c r="M135" s="38"/>
      <c r="N135" s="38"/>
      <c r="O135" s="38"/>
      <c r="P135" s="38"/>
      <c r="Q135" s="110"/>
    </row>
    <row r="136" spans="1:17">
      <c r="A136" s="113">
        <f>A135+1</f>
        <v>86</v>
      </c>
      <c r="B136" s="113" t="str">
        <f t="shared" ref="B136:B140" si="14">IF(D136="","","l.c")</f>
        <v>l.c</v>
      </c>
      <c r="C136" s="37" t="s">
        <v>186</v>
      </c>
      <c r="D136" s="7" t="s">
        <v>120</v>
      </c>
      <c r="E136" s="44">
        <v>15</v>
      </c>
      <c r="F136" s="38"/>
      <c r="G136" s="38"/>
      <c r="H136" s="38"/>
      <c r="I136" s="38"/>
      <c r="J136" s="38"/>
      <c r="K136" s="38"/>
      <c r="L136" s="38"/>
      <c r="M136" s="38"/>
      <c r="N136" s="38"/>
      <c r="O136" s="38"/>
      <c r="P136" s="38"/>
      <c r="Q136" s="110"/>
    </row>
    <row r="137" spans="1:17">
      <c r="A137" s="113" t="str">
        <f>IF(D137="","",COUNTIF(B$13:$B137,"l.c"))</f>
        <v/>
      </c>
      <c r="B137" s="113" t="str">
        <f t="shared" si="14"/>
        <v/>
      </c>
      <c r="C137" s="37"/>
      <c r="D137" s="118"/>
      <c r="E137" s="119"/>
      <c r="F137" s="38"/>
      <c r="G137" s="38"/>
      <c r="H137" s="38"/>
      <c r="I137" s="38"/>
      <c r="J137" s="38"/>
      <c r="K137" s="38"/>
      <c r="L137" s="38"/>
      <c r="M137" s="38"/>
      <c r="N137" s="38"/>
      <c r="O137" s="38"/>
      <c r="P137" s="38"/>
      <c r="Q137" s="110"/>
    </row>
    <row r="138" spans="1:17">
      <c r="A138" s="113" t="str">
        <f>IF(D138="","",COUNTIF(B$13:$B138,"l.c"))</f>
        <v/>
      </c>
      <c r="B138" s="113" t="str">
        <f t="shared" si="14"/>
        <v/>
      </c>
      <c r="C138" s="114" t="s">
        <v>187</v>
      </c>
      <c r="D138" s="7"/>
      <c r="E138" s="44"/>
      <c r="F138" s="38"/>
      <c r="G138" s="38"/>
      <c r="H138" s="38"/>
      <c r="I138" s="38"/>
      <c r="J138" s="38"/>
      <c r="K138" s="38"/>
      <c r="L138" s="38"/>
      <c r="M138" s="38"/>
      <c r="N138" s="38"/>
      <c r="O138" s="38"/>
      <c r="P138" s="38"/>
      <c r="Q138" s="110"/>
    </row>
    <row r="139" spans="1:17" ht="34.5">
      <c r="A139" s="113">
        <v>87</v>
      </c>
      <c r="B139" s="113" t="str">
        <f t="shared" si="14"/>
        <v>l.c</v>
      </c>
      <c r="C139" s="37" t="s">
        <v>188</v>
      </c>
      <c r="D139" s="7" t="s">
        <v>98</v>
      </c>
      <c r="E139" s="44">
        <f>8*0.15</f>
        <v>1.2</v>
      </c>
      <c r="F139" s="38"/>
      <c r="G139" s="38"/>
      <c r="H139" s="38"/>
      <c r="I139" s="38"/>
      <c r="J139" s="38"/>
      <c r="K139" s="38"/>
      <c r="L139" s="38"/>
      <c r="M139" s="38"/>
      <c r="N139" s="38"/>
      <c r="O139" s="38"/>
      <c r="P139" s="38"/>
      <c r="Q139" s="110"/>
    </row>
    <row r="140" spans="1:17">
      <c r="A140" s="113">
        <f>A139+1</f>
        <v>88</v>
      </c>
      <c r="B140" s="113" t="str">
        <f t="shared" si="14"/>
        <v>l.c</v>
      </c>
      <c r="C140" s="37" t="s">
        <v>189</v>
      </c>
      <c r="D140" s="7" t="s">
        <v>120</v>
      </c>
      <c r="E140" s="44">
        <v>8</v>
      </c>
      <c r="F140" s="38"/>
      <c r="G140" s="38"/>
      <c r="H140" s="38"/>
      <c r="I140" s="38"/>
      <c r="J140" s="38"/>
      <c r="K140" s="38"/>
      <c r="L140" s="38"/>
      <c r="M140" s="38"/>
      <c r="N140" s="38"/>
      <c r="O140" s="38"/>
      <c r="P140" s="38"/>
      <c r="Q140" s="110"/>
    </row>
    <row r="141" spans="1:17">
      <c r="A141" s="113" t="str">
        <f>IF(D141="","",COUNTIF(B$13:$B141,"l.c"))</f>
        <v/>
      </c>
      <c r="B141" s="113" t="str">
        <f t="shared" ref="B141:B148" si="15">IF(D141="","","l.c")</f>
        <v/>
      </c>
      <c r="C141" s="37"/>
      <c r="D141" s="118"/>
      <c r="E141" s="119"/>
      <c r="F141" s="38"/>
      <c r="G141" s="38"/>
      <c r="H141" s="38"/>
      <c r="I141" s="38"/>
      <c r="J141" s="38"/>
      <c r="K141" s="38"/>
      <c r="L141" s="38"/>
      <c r="M141" s="38"/>
      <c r="N141" s="38"/>
      <c r="O141" s="38"/>
      <c r="P141" s="38"/>
      <c r="Q141" s="110"/>
    </row>
    <row r="142" spans="1:17">
      <c r="A142" s="113" t="str">
        <f>IF(D142="","",COUNTIF(B$13:$B142,"l.c"))</f>
        <v/>
      </c>
      <c r="B142" s="113" t="str">
        <f t="shared" si="15"/>
        <v/>
      </c>
      <c r="C142" s="114" t="s">
        <v>190</v>
      </c>
      <c r="D142" s="7"/>
      <c r="E142" s="44"/>
      <c r="F142" s="38"/>
      <c r="G142" s="38"/>
      <c r="H142" s="38"/>
      <c r="I142" s="38"/>
      <c r="J142" s="38"/>
      <c r="K142" s="38"/>
      <c r="L142" s="38"/>
      <c r="M142" s="38"/>
      <c r="N142" s="38"/>
      <c r="O142" s="38"/>
      <c r="P142" s="38"/>
      <c r="Q142" s="110"/>
    </row>
    <row r="143" spans="1:17" ht="34.5">
      <c r="A143" s="113">
        <v>89</v>
      </c>
      <c r="B143" s="113" t="str">
        <f t="shared" si="15"/>
        <v>l.c</v>
      </c>
      <c r="C143" s="37" t="s">
        <v>191</v>
      </c>
      <c r="D143" s="7" t="s">
        <v>98</v>
      </c>
      <c r="E143" s="44">
        <f>45*0.2</f>
        <v>9</v>
      </c>
      <c r="F143" s="38"/>
      <c r="G143" s="38"/>
      <c r="H143" s="38"/>
      <c r="I143" s="38"/>
      <c r="J143" s="38"/>
      <c r="K143" s="38"/>
      <c r="L143" s="38"/>
      <c r="M143" s="38"/>
      <c r="N143" s="38"/>
      <c r="O143" s="38"/>
      <c r="P143" s="38"/>
      <c r="Q143" s="110"/>
    </row>
    <row r="144" spans="1:17">
      <c r="A144" s="113">
        <f>A143+1</f>
        <v>90</v>
      </c>
      <c r="B144" s="113" t="str">
        <f t="shared" si="15"/>
        <v>l.c</v>
      </c>
      <c r="C144" s="37" t="s">
        <v>189</v>
      </c>
      <c r="D144" s="7" t="s">
        <v>120</v>
      </c>
      <c r="E144" s="44">
        <f>45</f>
        <v>45</v>
      </c>
      <c r="F144" s="38"/>
      <c r="G144" s="38"/>
      <c r="H144" s="38"/>
      <c r="I144" s="38"/>
      <c r="J144" s="38"/>
      <c r="K144" s="38"/>
      <c r="L144" s="38"/>
      <c r="M144" s="38"/>
      <c r="N144" s="38"/>
      <c r="O144" s="38"/>
      <c r="P144" s="38"/>
      <c r="Q144" s="110"/>
    </row>
    <row r="145" spans="1:17">
      <c r="A145" s="113" t="str">
        <f>IF(D145="","",COUNTIF(B$13:$B145,"l.c"))</f>
        <v/>
      </c>
      <c r="B145" s="113" t="str">
        <f t="shared" si="15"/>
        <v/>
      </c>
      <c r="C145" s="37"/>
      <c r="D145" s="118"/>
      <c r="E145" s="119"/>
      <c r="F145" s="38"/>
      <c r="G145" s="38"/>
      <c r="H145" s="38"/>
      <c r="I145" s="38"/>
      <c r="J145" s="38"/>
      <c r="K145" s="38"/>
      <c r="L145" s="38"/>
      <c r="M145" s="38"/>
      <c r="N145" s="38"/>
      <c r="O145" s="38"/>
      <c r="P145" s="38"/>
      <c r="Q145" s="110"/>
    </row>
    <row r="146" spans="1:17">
      <c r="A146" s="113" t="str">
        <f>IF(D146="","",COUNTIF(B$13:$B146,"l.c"))</f>
        <v/>
      </c>
      <c r="B146" s="113" t="str">
        <f t="shared" si="15"/>
        <v/>
      </c>
      <c r="C146" s="114" t="s">
        <v>192</v>
      </c>
      <c r="D146" s="7"/>
      <c r="E146" s="44"/>
      <c r="F146" s="38"/>
      <c r="G146" s="38"/>
      <c r="H146" s="38"/>
      <c r="I146" s="38"/>
      <c r="J146" s="38"/>
      <c r="K146" s="38"/>
      <c r="L146" s="38"/>
      <c r="M146" s="38"/>
      <c r="N146" s="38"/>
      <c r="O146" s="38"/>
      <c r="P146" s="38"/>
      <c r="Q146" s="110"/>
    </row>
    <row r="147" spans="1:17" ht="34.5">
      <c r="A147" s="113">
        <v>91</v>
      </c>
      <c r="B147" s="113" t="str">
        <f t="shared" si="15"/>
        <v>l.c</v>
      </c>
      <c r="C147" s="37" t="s">
        <v>193</v>
      </c>
      <c r="D147" s="7" t="s">
        <v>98</v>
      </c>
      <c r="E147" s="44">
        <f>37*0.19</f>
        <v>7.03</v>
      </c>
      <c r="F147" s="38"/>
      <c r="G147" s="38"/>
      <c r="H147" s="38"/>
      <c r="I147" s="38"/>
      <c r="J147" s="38"/>
      <c r="K147" s="38"/>
      <c r="L147" s="38"/>
      <c r="M147" s="38"/>
      <c r="N147" s="38"/>
      <c r="O147" s="38"/>
      <c r="P147" s="38"/>
      <c r="Q147" s="110"/>
    </row>
    <row r="148" spans="1:17" ht="23.1">
      <c r="A148" s="113">
        <f>A147+1</f>
        <v>92</v>
      </c>
      <c r="B148" s="113" t="str">
        <f t="shared" si="15"/>
        <v>l.c</v>
      </c>
      <c r="C148" s="37" t="s">
        <v>180</v>
      </c>
      <c r="D148" s="7" t="s">
        <v>98</v>
      </c>
      <c r="E148" s="44">
        <f>E147*0.6</f>
        <v>4.22</v>
      </c>
      <c r="F148" s="38"/>
      <c r="G148" s="38"/>
      <c r="H148" s="38"/>
      <c r="I148" s="38"/>
      <c r="J148" s="38"/>
      <c r="K148" s="38"/>
      <c r="L148" s="38"/>
      <c r="M148" s="38"/>
      <c r="N148" s="38"/>
      <c r="O148" s="38"/>
      <c r="P148" s="38"/>
      <c r="Q148" s="110"/>
    </row>
    <row r="149" spans="1:17">
      <c r="A149" s="113" t="str">
        <f>IF(D149="","",COUNTIF(B$13:$B149,"l.c"))</f>
        <v/>
      </c>
      <c r="B149" s="113" t="str">
        <f t="shared" ref="B149:B151" si="16">IF(D149="","","l.c")</f>
        <v/>
      </c>
      <c r="C149" s="37"/>
      <c r="D149" s="118"/>
      <c r="E149" s="119"/>
      <c r="F149" s="38"/>
      <c r="G149" s="38"/>
      <c r="H149" s="38"/>
      <c r="I149" s="38"/>
      <c r="J149" s="38"/>
      <c r="K149" s="38"/>
      <c r="L149" s="38"/>
      <c r="M149" s="38"/>
      <c r="N149" s="38"/>
      <c r="O149" s="38"/>
      <c r="P149" s="38"/>
      <c r="Q149" s="110"/>
    </row>
    <row r="150" spans="1:17">
      <c r="A150" s="113" t="str">
        <f>IF(D150="","",COUNTIF(B$13:$B150,"l.c"))</f>
        <v/>
      </c>
      <c r="B150" s="113" t="str">
        <f t="shared" si="16"/>
        <v/>
      </c>
      <c r="C150" s="114" t="s">
        <v>194</v>
      </c>
      <c r="D150" s="7"/>
      <c r="E150" s="44"/>
      <c r="F150" s="38"/>
      <c r="G150" s="38"/>
      <c r="H150" s="38"/>
      <c r="I150" s="38"/>
      <c r="J150" s="38"/>
      <c r="K150" s="38"/>
      <c r="L150" s="38"/>
      <c r="M150" s="38"/>
      <c r="N150" s="38"/>
      <c r="O150" s="38"/>
      <c r="P150" s="38"/>
      <c r="Q150" s="110"/>
    </row>
    <row r="151" spans="1:17" ht="23.1">
      <c r="A151" s="113">
        <v>93</v>
      </c>
      <c r="B151" s="113" t="str">
        <f t="shared" si="16"/>
        <v>l.c</v>
      </c>
      <c r="C151" s="37" t="s">
        <v>195</v>
      </c>
      <c r="D151" s="7" t="s">
        <v>120</v>
      </c>
      <c r="E151" s="44">
        <f>19</f>
        <v>19</v>
      </c>
      <c r="F151" s="38"/>
      <c r="G151" s="38"/>
      <c r="H151" s="38"/>
      <c r="I151" s="38"/>
      <c r="J151" s="38"/>
      <c r="K151" s="38"/>
      <c r="L151" s="38"/>
      <c r="M151" s="38"/>
      <c r="N151" s="38"/>
      <c r="O151" s="38"/>
      <c r="P151" s="38"/>
      <c r="Q151" s="110"/>
    </row>
    <row r="152" spans="1:17">
      <c r="A152" s="113" t="str">
        <f>IF(D152="","",COUNTIF(B$13:$B152,"l.c"))</f>
        <v/>
      </c>
      <c r="B152" s="113" t="str">
        <f t="shared" ref="B152:B201" si="17">IF(D152="","","l.c")</f>
        <v/>
      </c>
      <c r="C152" s="37"/>
      <c r="D152" s="7"/>
      <c r="E152" s="44"/>
      <c r="F152" s="38"/>
      <c r="G152" s="38"/>
      <c r="H152" s="38"/>
      <c r="I152" s="38"/>
      <c r="J152" s="38"/>
      <c r="K152" s="38"/>
      <c r="L152" s="38"/>
      <c r="M152" s="38"/>
      <c r="N152" s="38"/>
      <c r="O152" s="38"/>
      <c r="P152" s="38"/>
      <c r="Q152" s="110"/>
    </row>
    <row r="153" spans="1:17">
      <c r="A153" s="113" t="str">
        <f>IF(D153="","",COUNTIF(B$13:$B153,"l.c"))</f>
        <v/>
      </c>
      <c r="B153" s="113" t="str">
        <f t="shared" si="17"/>
        <v/>
      </c>
      <c r="C153" s="115" t="s">
        <v>196</v>
      </c>
      <c r="D153" s="7"/>
      <c r="E153" s="44"/>
      <c r="F153" s="38"/>
      <c r="G153" s="38"/>
      <c r="H153" s="38"/>
      <c r="I153" s="38"/>
      <c r="J153" s="38"/>
      <c r="K153" s="38"/>
      <c r="L153" s="38"/>
      <c r="M153" s="38"/>
      <c r="N153" s="38"/>
      <c r="O153" s="38"/>
      <c r="P153" s="38"/>
      <c r="Q153" s="110"/>
    </row>
    <row r="154" spans="1:17">
      <c r="A154" s="113"/>
      <c r="B154" s="113"/>
      <c r="C154" s="114" t="s">
        <v>197</v>
      </c>
      <c r="D154" s="43" t="s">
        <v>120</v>
      </c>
      <c r="E154" s="120">
        <f>168</f>
        <v>168</v>
      </c>
      <c r="F154" s="38"/>
      <c r="G154" s="38"/>
      <c r="H154" s="38"/>
      <c r="I154" s="38"/>
      <c r="J154" s="38"/>
      <c r="K154" s="38"/>
      <c r="L154" s="38"/>
      <c r="M154" s="38"/>
      <c r="N154" s="38"/>
      <c r="O154" s="38"/>
      <c r="P154" s="38"/>
      <c r="Q154" s="110"/>
    </row>
    <row r="155" spans="1:17">
      <c r="A155" s="113">
        <v>94</v>
      </c>
      <c r="B155" s="113" t="str">
        <f t="shared" si="17"/>
        <v>l.c</v>
      </c>
      <c r="C155" s="37" t="s">
        <v>134</v>
      </c>
      <c r="D155" s="7" t="s">
        <v>120</v>
      </c>
      <c r="E155" s="44">
        <f>E154</f>
        <v>168</v>
      </c>
      <c r="F155" s="38"/>
      <c r="G155" s="38"/>
      <c r="H155" s="38"/>
      <c r="I155" s="38"/>
      <c r="J155" s="38"/>
      <c r="K155" s="38"/>
      <c r="L155" s="38"/>
      <c r="M155" s="38"/>
      <c r="N155" s="38"/>
      <c r="O155" s="38"/>
      <c r="P155" s="38"/>
      <c r="Q155" s="110"/>
    </row>
    <row r="156" spans="1:17">
      <c r="A156" s="113">
        <v>95</v>
      </c>
      <c r="B156" s="113" t="str">
        <f t="shared" si="17"/>
        <v>l.c</v>
      </c>
      <c r="C156" s="37" t="s">
        <v>198</v>
      </c>
      <c r="D156" s="7" t="s">
        <v>98</v>
      </c>
      <c r="E156" s="44">
        <f>E154*0.3</f>
        <v>50.4</v>
      </c>
      <c r="F156" s="38"/>
      <c r="G156" s="38"/>
      <c r="H156" s="38"/>
      <c r="I156" s="38"/>
      <c r="J156" s="38"/>
      <c r="K156" s="38"/>
      <c r="L156" s="38"/>
      <c r="M156" s="38"/>
      <c r="N156" s="38"/>
      <c r="O156" s="38"/>
      <c r="P156" s="38"/>
      <c r="Q156" s="110"/>
    </row>
    <row r="157" spans="1:17">
      <c r="A157" s="113">
        <v>96</v>
      </c>
      <c r="B157" s="113" t="str">
        <f t="shared" si="17"/>
        <v>l.c</v>
      </c>
      <c r="C157" s="37" t="s">
        <v>199</v>
      </c>
      <c r="D157" s="7" t="s">
        <v>98</v>
      </c>
      <c r="E157" s="44">
        <f>E154*0.2</f>
        <v>33.6</v>
      </c>
      <c r="F157" s="38"/>
      <c r="G157" s="38"/>
      <c r="H157" s="38"/>
      <c r="I157" s="38"/>
      <c r="J157" s="38"/>
      <c r="K157" s="38"/>
      <c r="L157" s="38"/>
      <c r="M157" s="38"/>
      <c r="N157" s="38"/>
      <c r="O157" s="38"/>
      <c r="P157" s="38"/>
      <c r="Q157" s="110"/>
    </row>
    <row r="158" spans="1:17">
      <c r="A158" s="113">
        <v>97</v>
      </c>
      <c r="B158" s="113" t="str">
        <f t="shared" si="17"/>
        <v>l.c</v>
      </c>
      <c r="C158" s="37" t="s">
        <v>200</v>
      </c>
      <c r="D158" s="7" t="s">
        <v>120</v>
      </c>
      <c r="E158" s="44">
        <f>E154</f>
        <v>168</v>
      </c>
      <c r="F158" s="38"/>
      <c r="G158" s="38"/>
      <c r="H158" s="38"/>
      <c r="I158" s="38"/>
      <c r="J158" s="38"/>
      <c r="K158" s="38"/>
      <c r="L158" s="38"/>
      <c r="M158" s="38"/>
      <c r="N158" s="38"/>
      <c r="O158" s="38"/>
      <c r="P158" s="38"/>
      <c r="Q158" s="110"/>
    </row>
    <row r="159" spans="1:17" ht="23.1">
      <c r="A159" s="113">
        <v>98</v>
      </c>
      <c r="B159" s="113" t="str">
        <f t="shared" si="17"/>
        <v>l.c</v>
      </c>
      <c r="C159" s="37" t="s">
        <v>201</v>
      </c>
      <c r="D159" s="7" t="str">
        <f>D154</f>
        <v>m2</v>
      </c>
      <c r="E159" s="44">
        <f>E154</f>
        <v>168</v>
      </c>
      <c r="F159" s="38"/>
      <c r="G159" s="38"/>
      <c r="H159" s="38"/>
      <c r="I159" s="38"/>
      <c r="J159" s="38"/>
      <c r="K159" s="38"/>
      <c r="L159" s="38"/>
      <c r="M159" s="38"/>
      <c r="N159" s="38"/>
      <c r="O159" s="38"/>
      <c r="P159" s="38"/>
      <c r="Q159" s="110"/>
    </row>
    <row r="160" spans="1:17" ht="23.1">
      <c r="A160" s="113">
        <v>99</v>
      </c>
      <c r="B160" s="113" t="str">
        <f t="shared" si="17"/>
        <v>l.c</v>
      </c>
      <c r="C160" s="37" t="s">
        <v>202</v>
      </c>
      <c r="D160" s="7" t="s">
        <v>98</v>
      </c>
      <c r="E160" s="44">
        <f>E154*0.14</f>
        <v>23.52</v>
      </c>
      <c r="F160" s="38"/>
      <c r="G160" s="38"/>
      <c r="H160" s="38"/>
      <c r="I160" s="38"/>
      <c r="J160" s="38"/>
      <c r="K160" s="38"/>
      <c r="L160" s="38"/>
      <c r="M160" s="38"/>
      <c r="N160" s="38"/>
      <c r="O160" s="38"/>
      <c r="P160" s="38"/>
      <c r="Q160" s="110"/>
    </row>
    <row r="161" spans="1:17">
      <c r="A161" s="113">
        <v>100</v>
      </c>
      <c r="B161" s="113" t="str">
        <f t="shared" si="17"/>
        <v>l.c</v>
      </c>
      <c r="C161" s="37" t="s">
        <v>203</v>
      </c>
      <c r="D161" s="7" t="s">
        <v>98</v>
      </c>
      <c r="E161" s="44">
        <f>E160*1.05</f>
        <v>24.7</v>
      </c>
      <c r="F161" s="38"/>
      <c r="G161" s="38"/>
      <c r="H161" s="38"/>
      <c r="I161" s="38"/>
      <c r="J161" s="38"/>
      <c r="K161" s="38"/>
      <c r="L161" s="38"/>
      <c r="M161" s="38"/>
      <c r="N161" s="38"/>
      <c r="O161" s="38"/>
      <c r="P161" s="38"/>
      <c r="Q161" s="110"/>
    </row>
    <row r="162" spans="1:17" ht="23.1">
      <c r="A162" s="113">
        <v>101</v>
      </c>
      <c r="B162" s="113" t="str">
        <f t="shared" si="17"/>
        <v>l.c</v>
      </c>
      <c r="C162" s="37" t="s">
        <v>204</v>
      </c>
      <c r="D162" s="7" t="s">
        <v>120</v>
      </c>
      <c r="E162" s="44">
        <f>E154</f>
        <v>168</v>
      </c>
      <c r="F162" s="38"/>
      <c r="G162" s="38"/>
      <c r="H162" s="38"/>
      <c r="I162" s="38"/>
      <c r="J162" s="38"/>
      <c r="K162" s="38"/>
      <c r="L162" s="38"/>
      <c r="M162" s="38"/>
      <c r="N162" s="38"/>
      <c r="O162" s="38"/>
      <c r="P162" s="38"/>
      <c r="Q162" s="110"/>
    </row>
    <row r="163" spans="1:17">
      <c r="A163" s="113" t="str">
        <f>IF(D163="","",COUNTIF(B$13:$B163,"l.c"))</f>
        <v/>
      </c>
      <c r="B163" s="113" t="str">
        <f t="shared" si="17"/>
        <v/>
      </c>
      <c r="C163" s="37"/>
      <c r="D163" s="7"/>
      <c r="E163" s="44"/>
      <c r="F163" s="38"/>
      <c r="G163" s="38"/>
      <c r="H163" s="38"/>
      <c r="I163" s="38"/>
      <c r="J163" s="38"/>
      <c r="K163" s="38"/>
      <c r="L163" s="38"/>
      <c r="M163" s="38"/>
      <c r="N163" s="38"/>
      <c r="O163" s="38"/>
      <c r="P163" s="38"/>
      <c r="Q163" s="110"/>
    </row>
    <row r="164" spans="1:17">
      <c r="A164" s="113"/>
      <c r="B164" s="113"/>
      <c r="C164" s="114" t="s">
        <v>205</v>
      </c>
      <c r="D164" s="43" t="s">
        <v>120</v>
      </c>
      <c r="E164" s="120">
        <f>256</f>
        <v>256</v>
      </c>
      <c r="F164" s="38"/>
      <c r="G164" s="38"/>
      <c r="H164" s="38"/>
      <c r="I164" s="38"/>
      <c r="J164" s="38"/>
      <c r="K164" s="38"/>
      <c r="L164" s="38"/>
      <c r="M164" s="38"/>
      <c r="N164" s="38"/>
      <c r="O164" s="38"/>
      <c r="P164" s="38"/>
      <c r="Q164" s="110"/>
    </row>
    <row r="165" spans="1:17">
      <c r="A165" s="113">
        <v>102</v>
      </c>
      <c r="B165" s="113" t="str">
        <f t="shared" si="17"/>
        <v>l.c</v>
      </c>
      <c r="C165" s="37" t="s">
        <v>134</v>
      </c>
      <c r="D165" s="7" t="s">
        <v>120</v>
      </c>
      <c r="E165" s="44">
        <f>E164</f>
        <v>256</v>
      </c>
      <c r="F165" s="38"/>
      <c r="G165" s="38"/>
      <c r="H165" s="38"/>
      <c r="I165" s="38"/>
      <c r="J165" s="38"/>
      <c r="K165" s="38"/>
      <c r="L165" s="38"/>
      <c r="M165" s="38"/>
      <c r="N165" s="38"/>
      <c r="O165" s="38"/>
      <c r="P165" s="38"/>
      <c r="Q165" s="110"/>
    </row>
    <row r="166" spans="1:17">
      <c r="A166" s="113">
        <v>103</v>
      </c>
      <c r="B166" s="113" t="str">
        <f t="shared" si="17"/>
        <v>l.c</v>
      </c>
      <c r="C166" s="37" t="s">
        <v>198</v>
      </c>
      <c r="D166" s="7" t="s">
        <v>98</v>
      </c>
      <c r="E166" s="44">
        <f>E164*0.3</f>
        <v>76.8</v>
      </c>
      <c r="F166" s="38"/>
      <c r="G166" s="38"/>
      <c r="H166" s="38"/>
      <c r="I166" s="38"/>
      <c r="J166" s="38"/>
      <c r="K166" s="38"/>
      <c r="L166" s="38"/>
      <c r="M166" s="38"/>
      <c r="N166" s="38"/>
      <c r="O166" s="38"/>
      <c r="P166" s="38"/>
      <c r="Q166" s="110"/>
    </row>
    <row r="167" spans="1:17">
      <c r="A167" s="113">
        <v>104</v>
      </c>
      <c r="B167" s="113" t="str">
        <f t="shared" ref="B167" si="18">IF(D167="","","l.c")</f>
        <v>l.c</v>
      </c>
      <c r="C167" s="37" t="s">
        <v>199</v>
      </c>
      <c r="D167" s="7" t="s">
        <v>98</v>
      </c>
      <c r="E167" s="44">
        <f>E164*0.2</f>
        <v>51.2</v>
      </c>
      <c r="F167" s="38"/>
      <c r="G167" s="38"/>
      <c r="H167" s="38"/>
      <c r="I167" s="38"/>
      <c r="J167" s="38"/>
      <c r="K167" s="38"/>
      <c r="L167" s="38"/>
      <c r="M167" s="38"/>
      <c r="N167" s="38"/>
      <c r="O167" s="38"/>
      <c r="P167" s="38"/>
      <c r="Q167" s="110"/>
    </row>
    <row r="168" spans="1:17">
      <c r="A168" s="113">
        <v>105</v>
      </c>
      <c r="B168" s="113" t="str">
        <f t="shared" si="17"/>
        <v>l.c</v>
      </c>
      <c r="C168" s="37" t="s">
        <v>200</v>
      </c>
      <c r="D168" s="7" t="s">
        <v>120</v>
      </c>
      <c r="E168" s="44">
        <f>E164</f>
        <v>256</v>
      </c>
      <c r="F168" s="38"/>
      <c r="G168" s="38"/>
      <c r="H168" s="38"/>
      <c r="I168" s="38"/>
      <c r="J168" s="38"/>
      <c r="K168" s="38"/>
      <c r="L168" s="38"/>
      <c r="M168" s="38"/>
      <c r="N168" s="38"/>
      <c r="O168" s="38"/>
      <c r="P168" s="38"/>
      <c r="Q168" s="110"/>
    </row>
    <row r="169" spans="1:17" ht="23.1">
      <c r="A169" s="113">
        <v>106</v>
      </c>
      <c r="B169" s="113" t="str">
        <f t="shared" si="17"/>
        <v>l.c</v>
      </c>
      <c r="C169" s="37" t="s">
        <v>206</v>
      </c>
      <c r="D169" s="7" t="str">
        <f>D164</f>
        <v>m2</v>
      </c>
      <c r="E169" s="44">
        <f>E164</f>
        <v>256</v>
      </c>
      <c r="F169" s="38"/>
      <c r="G169" s="38"/>
      <c r="H169" s="38"/>
      <c r="I169" s="38"/>
      <c r="J169" s="38"/>
      <c r="K169" s="38"/>
      <c r="L169" s="38"/>
      <c r="M169" s="38"/>
      <c r="N169" s="38"/>
      <c r="O169" s="38"/>
      <c r="P169" s="38"/>
      <c r="Q169" s="110"/>
    </row>
    <row r="170" spans="1:17" ht="23.1">
      <c r="A170" s="113">
        <v>107</v>
      </c>
      <c r="B170" s="113" t="str">
        <f t="shared" si="17"/>
        <v>l.c</v>
      </c>
      <c r="C170" s="37" t="s">
        <v>207</v>
      </c>
      <c r="D170" s="7" t="s">
        <v>98</v>
      </c>
      <c r="E170" s="44">
        <f>E164*0.1</f>
        <v>25.6</v>
      </c>
      <c r="F170" s="38"/>
      <c r="G170" s="38"/>
      <c r="H170" s="38"/>
      <c r="I170" s="38"/>
      <c r="J170" s="38"/>
      <c r="K170" s="38"/>
      <c r="L170" s="38"/>
      <c r="M170" s="38"/>
      <c r="N170" s="38"/>
      <c r="O170" s="38"/>
      <c r="P170" s="38"/>
      <c r="Q170" s="110"/>
    </row>
    <row r="171" spans="1:17">
      <c r="A171" s="113">
        <v>108</v>
      </c>
      <c r="B171" s="113" t="str">
        <f t="shared" si="17"/>
        <v>l.c</v>
      </c>
      <c r="C171" s="37" t="s">
        <v>208</v>
      </c>
      <c r="D171" s="7" t="s">
        <v>98</v>
      </c>
      <c r="E171" s="44">
        <f>E170*1.05</f>
        <v>26.88</v>
      </c>
      <c r="F171" s="38"/>
      <c r="G171" s="38"/>
      <c r="H171" s="38"/>
      <c r="I171" s="38"/>
      <c r="J171" s="38"/>
      <c r="K171" s="38"/>
      <c r="L171" s="38"/>
      <c r="M171" s="38"/>
      <c r="N171" s="38"/>
      <c r="O171" s="38"/>
      <c r="P171" s="38"/>
      <c r="Q171" s="110"/>
    </row>
    <row r="172" spans="1:17">
      <c r="A172" s="113">
        <v>109</v>
      </c>
      <c r="B172" s="113" t="str">
        <f t="shared" si="17"/>
        <v>l.c</v>
      </c>
      <c r="C172" s="116" t="s">
        <v>209</v>
      </c>
      <c r="D172" s="7" t="s">
        <v>120</v>
      </c>
      <c r="E172" s="44">
        <f>E164</f>
        <v>256</v>
      </c>
      <c r="F172" s="38"/>
      <c r="G172" s="38"/>
      <c r="H172" s="38"/>
      <c r="I172" s="38"/>
      <c r="J172" s="38"/>
      <c r="K172" s="38"/>
      <c r="L172" s="38"/>
      <c r="M172" s="38"/>
      <c r="N172" s="38"/>
      <c r="O172" s="38"/>
      <c r="P172" s="38"/>
      <c r="Q172" s="110"/>
    </row>
    <row r="173" spans="1:17">
      <c r="A173" s="113" t="str">
        <f>IF(D173="","",COUNTIF(B$13:$B173,"l.c"))</f>
        <v/>
      </c>
      <c r="B173" s="113" t="str">
        <f t="shared" si="17"/>
        <v/>
      </c>
      <c r="C173" s="37"/>
      <c r="D173" s="7"/>
      <c r="E173" s="44"/>
      <c r="F173" s="38"/>
      <c r="G173" s="38"/>
      <c r="H173" s="38"/>
      <c r="I173" s="38"/>
      <c r="J173" s="38"/>
      <c r="K173" s="38"/>
      <c r="L173" s="38"/>
      <c r="M173" s="38"/>
      <c r="N173" s="38"/>
      <c r="O173" s="38"/>
      <c r="P173" s="38"/>
      <c r="Q173" s="110"/>
    </row>
    <row r="174" spans="1:17">
      <c r="A174" s="113"/>
      <c r="B174" s="113"/>
      <c r="C174" s="114" t="s">
        <v>210</v>
      </c>
      <c r="D174" s="43" t="s">
        <v>120</v>
      </c>
      <c r="E174" s="120">
        <f>211</f>
        <v>211</v>
      </c>
      <c r="F174" s="38"/>
      <c r="G174" s="38"/>
      <c r="H174" s="38"/>
      <c r="I174" s="38"/>
      <c r="J174" s="38"/>
      <c r="K174" s="38"/>
      <c r="L174" s="38"/>
      <c r="M174" s="38"/>
      <c r="N174" s="38"/>
      <c r="O174" s="38"/>
      <c r="P174" s="38"/>
      <c r="Q174" s="110"/>
    </row>
    <row r="175" spans="1:17">
      <c r="A175" s="113">
        <v>110</v>
      </c>
      <c r="B175" s="113" t="str">
        <f t="shared" si="17"/>
        <v>l.c</v>
      </c>
      <c r="C175" s="37" t="s">
        <v>134</v>
      </c>
      <c r="D175" s="7" t="s">
        <v>120</v>
      </c>
      <c r="E175" s="44">
        <f>E174</f>
        <v>211</v>
      </c>
      <c r="F175" s="38"/>
      <c r="G175" s="38"/>
      <c r="H175" s="38"/>
      <c r="I175" s="38"/>
      <c r="J175" s="38"/>
      <c r="K175" s="38"/>
      <c r="L175" s="38"/>
      <c r="M175" s="38"/>
      <c r="N175" s="38"/>
      <c r="O175" s="38"/>
      <c r="P175" s="38"/>
      <c r="Q175" s="110"/>
    </row>
    <row r="176" spans="1:17">
      <c r="A176" s="113">
        <v>111</v>
      </c>
      <c r="B176" s="113" t="str">
        <f t="shared" si="17"/>
        <v>l.c</v>
      </c>
      <c r="C176" s="37" t="s">
        <v>198</v>
      </c>
      <c r="D176" s="7" t="s">
        <v>98</v>
      </c>
      <c r="E176" s="44">
        <f>E174*0.3</f>
        <v>63.3</v>
      </c>
      <c r="F176" s="38"/>
      <c r="G176" s="38"/>
      <c r="H176" s="38"/>
      <c r="I176" s="38"/>
      <c r="J176" s="38"/>
      <c r="K176" s="38"/>
      <c r="L176" s="38"/>
      <c r="M176" s="38"/>
      <c r="N176" s="38"/>
      <c r="O176" s="38"/>
      <c r="P176" s="38"/>
      <c r="Q176" s="110"/>
    </row>
    <row r="177" spans="1:17">
      <c r="A177" s="113">
        <v>112</v>
      </c>
      <c r="B177" s="113" t="str">
        <f t="shared" si="17"/>
        <v>l.c</v>
      </c>
      <c r="C177" s="37" t="s">
        <v>199</v>
      </c>
      <c r="D177" s="7" t="s">
        <v>98</v>
      </c>
      <c r="E177" s="44">
        <f>E174*0.2</f>
        <v>42.2</v>
      </c>
      <c r="F177" s="38"/>
      <c r="G177" s="38"/>
      <c r="H177" s="38"/>
      <c r="I177" s="38"/>
      <c r="J177" s="38"/>
      <c r="K177" s="38"/>
      <c r="L177" s="38"/>
      <c r="M177" s="38"/>
      <c r="N177" s="38"/>
      <c r="O177" s="38"/>
      <c r="P177" s="38"/>
      <c r="Q177" s="110"/>
    </row>
    <row r="178" spans="1:17">
      <c r="A178" s="113">
        <v>113</v>
      </c>
      <c r="B178" s="113" t="str">
        <f t="shared" si="17"/>
        <v>l.c</v>
      </c>
      <c r="C178" s="37" t="s">
        <v>200</v>
      </c>
      <c r="D178" s="7" t="s">
        <v>120</v>
      </c>
      <c r="E178" s="44">
        <f>E174</f>
        <v>211</v>
      </c>
      <c r="F178" s="38"/>
      <c r="G178" s="38"/>
      <c r="H178" s="38"/>
      <c r="I178" s="38"/>
      <c r="J178" s="38"/>
      <c r="K178" s="38"/>
      <c r="L178" s="38"/>
      <c r="M178" s="38"/>
      <c r="N178" s="38"/>
      <c r="O178" s="38"/>
      <c r="P178" s="38"/>
      <c r="Q178" s="110"/>
    </row>
    <row r="179" spans="1:17" ht="23.1">
      <c r="A179" s="113">
        <v>114</v>
      </c>
      <c r="B179" s="113" t="str">
        <f t="shared" si="17"/>
        <v>l.c</v>
      </c>
      <c r="C179" s="37" t="s">
        <v>206</v>
      </c>
      <c r="D179" s="7" t="str">
        <f>D174</f>
        <v>m2</v>
      </c>
      <c r="E179" s="44">
        <f>E174</f>
        <v>211</v>
      </c>
      <c r="F179" s="38"/>
      <c r="G179" s="38"/>
      <c r="H179" s="38"/>
      <c r="I179" s="38"/>
      <c r="J179" s="38"/>
      <c r="K179" s="38"/>
      <c r="L179" s="38"/>
      <c r="M179" s="38"/>
      <c r="N179" s="38"/>
      <c r="O179" s="38"/>
      <c r="P179" s="38"/>
      <c r="Q179" s="110"/>
    </row>
    <row r="180" spans="1:17" ht="23.1">
      <c r="A180" s="113">
        <v>115</v>
      </c>
      <c r="B180" s="113" t="str">
        <f t="shared" si="17"/>
        <v>l.c</v>
      </c>
      <c r="C180" s="37" t="s">
        <v>211</v>
      </c>
      <c r="D180" s="7" t="s">
        <v>98</v>
      </c>
      <c r="E180" s="44">
        <f>E174*0.08</f>
        <v>16.88</v>
      </c>
      <c r="F180" s="38"/>
      <c r="G180" s="38"/>
      <c r="H180" s="38"/>
      <c r="I180" s="38"/>
      <c r="J180" s="38"/>
      <c r="K180" s="38"/>
      <c r="L180" s="38"/>
      <c r="M180" s="38"/>
      <c r="N180" s="38"/>
      <c r="O180" s="38"/>
      <c r="P180" s="38"/>
      <c r="Q180" s="110"/>
    </row>
    <row r="181" spans="1:17">
      <c r="A181" s="113">
        <v>116</v>
      </c>
      <c r="B181" s="113" t="str">
        <f t="shared" si="17"/>
        <v>l.c</v>
      </c>
      <c r="C181" s="37" t="s">
        <v>208</v>
      </c>
      <c r="D181" s="7" t="s">
        <v>98</v>
      </c>
      <c r="E181" s="44">
        <f>E180*1.05</f>
        <v>17.72</v>
      </c>
      <c r="F181" s="38"/>
      <c r="G181" s="38"/>
      <c r="H181" s="38"/>
      <c r="I181" s="38"/>
      <c r="J181" s="38"/>
      <c r="K181" s="38"/>
      <c r="L181" s="38"/>
      <c r="M181" s="38"/>
      <c r="N181" s="38"/>
      <c r="O181" s="38"/>
      <c r="P181" s="38"/>
      <c r="Q181" s="110"/>
    </row>
    <row r="182" spans="1:17">
      <c r="A182" s="113">
        <v>117</v>
      </c>
      <c r="B182" s="113" t="str">
        <f t="shared" ref="B182" si="19">IF(D182="","","l.c")</f>
        <v>l.c</v>
      </c>
      <c r="C182" s="37" t="s">
        <v>212</v>
      </c>
      <c r="D182" s="7" t="str">
        <f>D174</f>
        <v>m2</v>
      </c>
      <c r="E182" s="44">
        <f>E174</f>
        <v>211</v>
      </c>
      <c r="F182" s="38"/>
      <c r="G182" s="38"/>
      <c r="H182" s="38"/>
      <c r="I182" s="38"/>
      <c r="J182" s="38"/>
      <c r="K182" s="38"/>
      <c r="L182" s="38"/>
      <c r="M182" s="38"/>
      <c r="N182" s="38"/>
      <c r="O182" s="38"/>
      <c r="P182" s="38"/>
      <c r="Q182" s="110"/>
    </row>
    <row r="183" spans="1:17">
      <c r="A183" s="113" t="str">
        <f>IF(D183="","",COUNTIF(B$13:$B183,"l.c"))</f>
        <v/>
      </c>
      <c r="B183" s="113" t="str">
        <f t="shared" si="17"/>
        <v/>
      </c>
      <c r="C183" s="37"/>
      <c r="D183" s="7"/>
      <c r="E183" s="44"/>
      <c r="F183" s="38"/>
      <c r="G183" s="38"/>
      <c r="H183" s="38"/>
      <c r="I183" s="38"/>
      <c r="J183" s="38"/>
      <c r="K183" s="38"/>
      <c r="L183" s="38"/>
      <c r="M183" s="38"/>
      <c r="N183" s="38"/>
      <c r="O183" s="38"/>
      <c r="P183" s="38"/>
      <c r="Q183" s="110"/>
    </row>
    <row r="184" spans="1:17">
      <c r="A184" s="113"/>
      <c r="B184" s="113"/>
      <c r="C184" s="114" t="s">
        <v>213</v>
      </c>
      <c r="D184" s="43" t="s">
        <v>120</v>
      </c>
      <c r="E184" s="120">
        <f>66</f>
        <v>66</v>
      </c>
      <c r="F184" s="38"/>
      <c r="G184" s="38"/>
      <c r="H184" s="38"/>
      <c r="I184" s="38"/>
      <c r="J184" s="38"/>
      <c r="K184" s="38"/>
      <c r="L184" s="38"/>
      <c r="M184" s="38"/>
      <c r="N184" s="38"/>
      <c r="O184" s="38"/>
      <c r="P184" s="38"/>
      <c r="Q184" s="110"/>
    </row>
    <row r="185" spans="1:17">
      <c r="A185" s="113">
        <v>118</v>
      </c>
      <c r="B185" s="113" t="str">
        <f t="shared" si="17"/>
        <v>l.c</v>
      </c>
      <c r="C185" s="37" t="s">
        <v>134</v>
      </c>
      <c r="D185" s="7" t="s">
        <v>120</v>
      </c>
      <c r="E185" s="44">
        <f>E184</f>
        <v>66</v>
      </c>
      <c r="F185" s="38"/>
      <c r="G185" s="38"/>
      <c r="H185" s="38"/>
      <c r="I185" s="38"/>
      <c r="J185" s="38"/>
      <c r="K185" s="38"/>
      <c r="L185" s="38"/>
      <c r="M185" s="38"/>
      <c r="N185" s="38"/>
      <c r="O185" s="38"/>
      <c r="P185" s="38"/>
      <c r="Q185" s="110"/>
    </row>
    <row r="186" spans="1:17">
      <c r="A186" s="113">
        <v>119</v>
      </c>
      <c r="B186" s="113" t="str">
        <f t="shared" si="17"/>
        <v>l.c</v>
      </c>
      <c r="C186" s="37" t="s">
        <v>198</v>
      </c>
      <c r="D186" s="7" t="s">
        <v>98</v>
      </c>
      <c r="E186" s="44">
        <f>E184*0.3</f>
        <v>19.8</v>
      </c>
      <c r="F186" s="38"/>
      <c r="G186" s="38"/>
      <c r="H186" s="38"/>
      <c r="I186" s="38"/>
      <c r="J186" s="38"/>
      <c r="K186" s="38"/>
      <c r="L186" s="38"/>
      <c r="M186" s="38"/>
      <c r="N186" s="38"/>
      <c r="O186" s="38"/>
      <c r="P186" s="38"/>
      <c r="Q186" s="110"/>
    </row>
    <row r="187" spans="1:17">
      <c r="A187" s="113">
        <v>120</v>
      </c>
      <c r="B187" s="113" t="str">
        <f t="shared" ref="B187" si="20">IF(D187="","","l.c")</f>
        <v>l.c</v>
      </c>
      <c r="C187" s="37" t="s">
        <v>199</v>
      </c>
      <c r="D187" s="7" t="s">
        <v>98</v>
      </c>
      <c r="E187" s="44">
        <f>E184*0.2</f>
        <v>13.2</v>
      </c>
      <c r="F187" s="38"/>
      <c r="G187" s="38"/>
      <c r="H187" s="38"/>
      <c r="I187" s="38"/>
      <c r="J187" s="38"/>
      <c r="K187" s="38"/>
      <c r="L187" s="38"/>
      <c r="M187" s="38"/>
      <c r="N187" s="38"/>
      <c r="O187" s="38"/>
      <c r="P187" s="38"/>
      <c r="Q187" s="110"/>
    </row>
    <row r="188" spans="1:17">
      <c r="A188" s="113">
        <v>121</v>
      </c>
      <c r="B188" s="113" t="str">
        <f t="shared" si="17"/>
        <v>l.c</v>
      </c>
      <c r="C188" s="37" t="s">
        <v>200</v>
      </c>
      <c r="D188" s="7" t="s">
        <v>120</v>
      </c>
      <c r="E188" s="44">
        <f>E184</f>
        <v>66</v>
      </c>
      <c r="F188" s="38"/>
      <c r="G188" s="38"/>
      <c r="H188" s="38"/>
      <c r="I188" s="38"/>
      <c r="J188" s="38"/>
      <c r="K188" s="38"/>
      <c r="L188" s="38"/>
      <c r="M188" s="38"/>
      <c r="N188" s="38"/>
      <c r="O188" s="38"/>
      <c r="P188" s="38"/>
      <c r="Q188" s="110"/>
    </row>
    <row r="189" spans="1:17" ht="23.1">
      <c r="A189" s="113">
        <v>122</v>
      </c>
      <c r="B189" s="113" t="str">
        <f t="shared" si="17"/>
        <v>l.c</v>
      </c>
      <c r="C189" s="37" t="s">
        <v>206</v>
      </c>
      <c r="D189" s="7" t="str">
        <f>D184</f>
        <v>m2</v>
      </c>
      <c r="E189" s="44">
        <f>E184</f>
        <v>66</v>
      </c>
      <c r="F189" s="38"/>
      <c r="G189" s="38"/>
      <c r="H189" s="38"/>
      <c r="I189" s="38"/>
      <c r="J189" s="38"/>
      <c r="K189" s="38"/>
      <c r="L189" s="38"/>
      <c r="M189" s="38"/>
      <c r="N189" s="38"/>
      <c r="O189" s="38"/>
      <c r="P189" s="38"/>
      <c r="Q189" s="110"/>
    </row>
    <row r="190" spans="1:17" ht="23.1">
      <c r="A190" s="113">
        <v>123</v>
      </c>
      <c r="B190" s="113" t="str">
        <f t="shared" si="17"/>
        <v>l.c</v>
      </c>
      <c r="C190" s="37" t="s">
        <v>207</v>
      </c>
      <c r="D190" s="7" t="s">
        <v>98</v>
      </c>
      <c r="E190" s="44">
        <f>E184*0.1</f>
        <v>6.6</v>
      </c>
      <c r="F190" s="38"/>
      <c r="G190" s="38"/>
      <c r="H190" s="38"/>
      <c r="I190" s="38"/>
      <c r="J190" s="38"/>
      <c r="K190" s="38"/>
      <c r="L190" s="38"/>
      <c r="M190" s="38"/>
      <c r="N190" s="38"/>
      <c r="O190" s="38"/>
      <c r="P190" s="38"/>
      <c r="Q190" s="110"/>
    </row>
    <row r="191" spans="1:17">
      <c r="A191" s="113">
        <v>124</v>
      </c>
      <c r="B191" s="113" t="str">
        <f t="shared" si="17"/>
        <v>l.c</v>
      </c>
      <c r="C191" s="37" t="s">
        <v>208</v>
      </c>
      <c r="D191" s="7" t="s">
        <v>98</v>
      </c>
      <c r="E191" s="44">
        <f>E190*1.05</f>
        <v>6.93</v>
      </c>
      <c r="F191" s="38"/>
      <c r="G191" s="38"/>
      <c r="H191" s="38"/>
      <c r="I191" s="38"/>
      <c r="J191" s="38"/>
      <c r="K191" s="38"/>
      <c r="L191" s="38"/>
      <c r="M191" s="38"/>
      <c r="N191" s="38"/>
      <c r="O191" s="38"/>
      <c r="P191" s="38"/>
      <c r="Q191" s="110"/>
    </row>
    <row r="192" spans="1:17">
      <c r="A192" s="113">
        <v>125</v>
      </c>
      <c r="B192" s="113" t="str">
        <f t="shared" si="17"/>
        <v>l.c</v>
      </c>
      <c r="C192" s="116" t="s">
        <v>214</v>
      </c>
      <c r="D192" s="7" t="s">
        <v>120</v>
      </c>
      <c r="E192" s="44">
        <f>E184</f>
        <v>66</v>
      </c>
      <c r="F192" s="38"/>
      <c r="G192" s="38"/>
      <c r="H192" s="38"/>
      <c r="I192" s="38"/>
      <c r="J192" s="38"/>
      <c r="K192" s="38"/>
      <c r="L192" s="38"/>
      <c r="M192" s="38"/>
      <c r="N192" s="38"/>
      <c r="O192" s="38"/>
      <c r="P192" s="38"/>
      <c r="Q192" s="110"/>
    </row>
    <row r="193" spans="1:17">
      <c r="A193" s="113" t="str">
        <f>IF(D193="","",COUNTIF(B$13:$B193,"l.c"))</f>
        <v/>
      </c>
      <c r="B193" s="113" t="str">
        <f t="shared" si="17"/>
        <v/>
      </c>
      <c r="C193" s="37"/>
      <c r="D193" s="7"/>
      <c r="E193" s="44"/>
      <c r="F193" s="38"/>
      <c r="G193" s="38"/>
      <c r="H193" s="38"/>
      <c r="I193" s="38"/>
      <c r="J193" s="38"/>
      <c r="K193" s="38"/>
      <c r="L193" s="38"/>
      <c r="M193" s="38"/>
      <c r="N193" s="38"/>
      <c r="O193" s="38"/>
      <c r="P193" s="38"/>
      <c r="Q193" s="110"/>
    </row>
    <row r="194" spans="1:17">
      <c r="A194" s="113"/>
      <c r="B194" s="113"/>
      <c r="C194" s="114" t="s">
        <v>215</v>
      </c>
      <c r="D194" s="43" t="s">
        <v>120</v>
      </c>
      <c r="E194" s="120">
        <f>17</f>
        <v>17</v>
      </c>
      <c r="F194" s="38"/>
      <c r="G194" s="38"/>
      <c r="H194" s="38"/>
      <c r="I194" s="38"/>
      <c r="J194" s="38"/>
      <c r="K194" s="38"/>
      <c r="L194" s="38"/>
      <c r="M194" s="38"/>
      <c r="N194" s="38"/>
      <c r="O194" s="38"/>
      <c r="P194" s="38"/>
      <c r="Q194" s="110"/>
    </row>
    <row r="195" spans="1:17">
      <c r="A195" s="113">
        <v>126</v>
      </c>
      <c r="B195" s="113" t="str">
        <f t="shared" si="17"/>
        <v>l.c</v>
      </c>
      <c r="C195" s="37" t="s">
        <v>134</v>
      </c>
      <c r="D195" s="7" t="s">
        <v>120</v>
      </c>
      <c r="E195" s="44">
        <f>E194</f>
        <v>17</v>
      </c>
      <c r="F195" s="38"/>
      <c r="G195" s="38"/>
      <c r="H195" s="38"/>
      <c r="I195" s="38"/>
      <c r="J195" s="38"/>
      <c r="K195" s="38"/>
      <c r="L195" s="38"/>
      <c r="M195" s="38"/>
      <c r="N195" s="38"/>
      <c r="O195" s="38"/>
      <c r="P195" s="38"/>
      <c r="Q195" s="110"/>
    </row>
    <row r="196" spans="1:17">
      <c r="A196" s="113">
        <v>127</v>
      </c>
      <c r="B196" s="113" t="str">
        <f t="shared" si="17"/>
        <v>l.c</v>
      </c>
      <c r="C196" s="37" t="s">
        <v>198</v>
      </c>
      <c r="D196" s="7" t="s">
        <v>98</v>
      </c>
      <c r="E196" s="44">
        <f>E194*0.3</f>
        <v>5.0999999999999996</v>
      </c>
      <c r="F196" s="38"/>
      <c r="G196" s="38"/>
      <c r="H196" s="38"/>
      <c r="I196" s="38"/>
      <c r="J196" s="38"/>
      <c r="K196" s="38"/>
      <c r="L196" s="38"/>
      <c r="M196" s="38"/>
      <c r="N196" s="38"/>
      <c r="O196" s="38"/>
      <c r="P196" s="38"/>
      <c r="Q196" s="110"/>
    </row>
    <row r="197" spans="1:17">
      <c r="A197" s="113">
        <v>128</v>
      </c>
      <c r="B197" s="113" t="str">
        <f t="shared" si="17"/>
        <v>l.c</v>
      </c>
      <c r="C197" s="37" t="s">
        <v>199</v>
      </c>
      <c r="D197" s="7" t="s">
        <v>98</v>
      </c>
      <c r="E197" s="44">
        <f>E194*0.2</f>
        <v>3.4</v>
      </c>
      <c r="F197" s="38"/>
      <c r="G197" s="38"/>
      <c r="H197" s="38"/>
      <c r="I197" s="38"/>
      <c r="J197" s="38"/>
      <c r="K197" s="38"/>
      <c r="L197" s="38"/>
      <c r="M197" s="38"/>
      <c r="N197" s="38"/>
      <c r="O197" s="38"/>
      <c r="P197" s="38"/>
      <c r="Q197" s="110"/>
    </row>
    <row r="198" spans="1:17">
      <c r="A198" s="113">
        <v>129</v>
      </c>
      <c r="B198" s="113" t="str">
        <f t="shared" si="17"/>
        <v>l.c</v>
      </c>
      <c r="C198" s="37" t="s">
        <v>200</v>
      </c>
      <c r="D198" s="7" t="s">
        <v>120</v>
      </c>
      <c r="E198" s="44">
        <f>E194</f>
        <v>17</v>
      </c>
      <c r="F198" s="38"/>
      <c r="G198" s="38"/>
      <c r="H198" s="38"/>
      <c r="I198" s="38"/>
      <c r="J198" s="38"/>
      <c r="K198" s="38"/>
      <c r="L198" s="38"/>
      <c r="M198" s="38"/>
      <c r="N198" s="38"/>
      <c r="O198" s="38"/>
      <c r="P198" s="38"/>
      <c r="Q198" s="110"/>
    </row>
    <row r="199" spans="1:17" ht="23.1">
      <c r="A199" s="113">
        <v>130</v>
      </c>
      <c r="B199" s="113" t="str">
        <f t="shared" si="17"/>
        <v>l.c</v>
      </c>
      <c r="C199" s="37" t="s">
        <v>206</v>
      </c>
      <c r="D199" s="7" t="str">
        <f>D194</f>
        <v>m2</v>
      </c>
      <c r="E199" s="44">
        <f>E194</f>
        <v>17</v>
      </c>
      <c r="F199" s="38"/>
      <c r="G199" s="38"/>
      <c r="H199" s="38"/>
      <c r="I199" s="38"/>
      <c r="J199" s="38"/>
      <c r="K199" s="38"/>
      <c r="L199" s="38"/>
      <c r="M199" s="38"/>
      <c r="N199" s="38"/>
      <c r="O199" s="38"/>
      <c r="P199" s="38"/>
      <c r="Q199" s="110"/>
    </row>
    <row r="200" spans="1:17" ht="23.1">
      <c r="A200" s="113">
        <v>131</v>
      </c>
      <c r="B200" s="113" t="str">
        <f t="shared" si="17"/>
        <v>l.c</v>
      </c>
      <c r="C200" s="37" t="s">
        <v>216</v>
      </c>
      <c r="D200" s="7" t="s">
        <v>98</v>
      </c>
      <c r="E200" s="44">
        <f>E194*0.1</f>
        <v>1.7</v>
      </c>
      <c r="F200" s="38"/>
      <c r="G200" s="38"/>
      <c r="H200" s="38"/>
      <c r="I200" s="38"/>
      <c r="J200" s="38"/>
      <c r="K200" s="38"/>
      <c r="L200" s="38"/>
      <c r="M200" s="38"/>
      <c r="N200" s="38"/>
      <c r="O200" s="38"/>
      <c r="P200" s="38"/>
      <c r="Q200" s="110"/>
    </row>
    <row r="201" spans="1:17">
      <c r="A201" s="113">
        <v>132</v>
      </c>
      <c r="B201" s="113" t="str">
        <f t="shared" si="17"/>
        <v>l.c</v>
      </c>
      <c r="C201" s="37" t="s">
        <v>217</v>
      </c>
      <c r="D201" s="7" t="s">
        <v>98</v>
      </c>
      <c r="E201" s="44">
        <f>E200*1.05</f>
        <v>1.79</v>
      </c>
      <c r="F201" s="38"/>
      <c r="G201" s="38"/>
      <c r="H201" s="38"/>
      <c r="I201" s="38"/>
      <c r="J201" s="38"/>
      <c r="K201" s="38"/>
      <c r="L201" s="38"/>
      <c r="M201" s="38"/>
      <c r="N201" s="38"/>
      <c r="O201" s="38"/>
      <c r="P201" s="38"/>
      <c r="Q201" s="110"/>
    </row>
    <row r="202" spans="1:17" ht="23.1">
      <c r="A202" s="113">
        <v>133</v>
      </c>
      <c r="B202" s="113" t="str">
        <f t="shared" ref="B202:B256" si="21">IF(D202="","","l.c")</f>
        <v>l.c</v>
      </c>
      <c r="C202" s="116" t="s">
        <v>218</v>
      </c>
      <c r="D202" s="7" t="s">
        <v>120</v>
      </c>
      <c r="E202" s="44">
        <f>E194</f>
        <v>17</v>
      </c>
      <c r="F202" s="38"/>
      <c r="G202" s="38"/>
      <c r="H202" s="38"/>
      <c r="I202" s="38"/>
      <c r="J202" s="38"/>
      <c r="K202" s="38"/>
      <c r="L202" s="38"/>
      <c r="M202" s="38"/>
      <c r="N202" s="38"/>
      <c r="O202" s="38"/>
      <c r="P202" s="38"/>
      <c r="Q202" s="110"/>
    </row>
    <row r="203" spans="1:17">
      <c r="A203" s="113" t="str">
        <f>IF(D203="","",COUNTIF(B$13:$B203,"l.c"))</f>
        <v/>
      </c>
      <c r="B203" s="113" t="str">
        <f t="shared" si="21"/>
        <v/>
      </c>
      <c r="C203" s="37"/>
      <c r="D203" s="7"/>
      <c r="E203" s="44"/>
      <c r="F203" s="38"/>
      <c r="G203" s="38"/>
      <c r="H203" s="38"/>
      <c r="I203" s="38"/>
      <c r="J203" s="38"/>
      <c r="K203" s="38"/>
      <c r="L203" s="38"/>
      <c r="M203" s="38"/>
      <c r="N203" s="38"/>
      <c r="O203" s="38"/>
      <c r="P203" s="38"/>
      <c r="Q203" s="110"/>
    </row>
    <row r="204" spans="1:17">
      <c r="A204" s="113"/>
      <c r="B204" s="113"/>
      <c r="C204" s="114" t="s">
        <v>219</v>
      </c>
      <c r="D204" s="43" t="s">
        <v>120</v>
      </c>
      <c r="E204" s="120">
        <f>42</f>
        <v>42</v>
      </c>
      <c r="F204" s="38"/>
      <c r="G204" s="38"/>
      <c r="H204" s="38"/>
      <c r="I204" s="38"/>
      <c r="J204" s="38"/>
      <c r="K204" s="38"/>
      <c r="L204" s="38"/>
      <c r="M204" s="38"/>
      <c r="N204" s="38"/>
      <c r="O204" s="38"/>
      <c r="P204" s="38"/>
      <c r="Q204" s="110"/>
    </row>
    <row r="205" spans="1:17">
      <c r="A205" s="113">
        <v>134</v>
      </c>
      <c r="B205" s="113" t="str">
        <f t="shared" si="21"/>
        <v>l.c</v>
      </c>
      <c r="C205" s="37" t="s">
        <v>134</v>
      </c>
      <c r="D205" s="7" t="s">
        <v>120</v>
      </c>
      <c r="E205" s="44">
        <f>E204</f>
        <v>42</v>
      </c>
      <c r="F205" s="38"/>
      <c r="G205" s="38"/>
      <c r="H205" s="38"/>
      <c r="I205" s="38"/>
      <c r="J205" s="38"/>
      <c r="K205" s="38"/>
      <c r="L205" s="38"/>
      <c r="M205" s="38"/>
      <c r="N205" s="38"/>
      <c r="O205" s="38"/>
      <c r="P205" s="38"/>
      <c r="Q205" s="110"/>
    </row>
    <row r="206" spans="1:17">
      <c r="A206" s="113">
        <v>135</v>
      </c>
      <c r="B206" s="113" t="str">
        <f t="shared" si="21"/>
        <v>l.c</v>
      </c>
      <c r="C206" s="37" t="s">
        <v>198</v>
      </c>
      <c r="D206" s="7" t="s">
        <v>98</v>
      </c>
      <c r="E206" s="44">
        <f>E204*0.3</f>
        <v>12.6</v>
      </c>
      <c r="F206" s="38"/>
      <c r="G206" s="38"/>
      <c r="H206" s="38"/>
      <c r="I206" s="38"/>
      <c r="J206" s="38"/>
      <c r="K206" s="38"/>
      <c r="L206" s="38"/>
      <c r="M206" s="38"/>
      <c r="N206" s="38"/>
      <c r="O206" s="38"/>
      <c r="P206" s="38"/>
      <c r="Q206" s="110"/>
    </row>
    <row r="207" spans="1:17">
      <c r="A207" s="113">
        <v>136</v>
      </c>
      <c r="B207" s="113" t="str">
        <f t="shared" si="21"/>
        <v>l.c</v>
      </c>
      <c r="C207" s="37" t="s">
        <v>199</v>
      </c>
      <c r="D207" s="7" t="s">
        <v>98</v>
      </c>
      <c r="E207" s="44">
        <f>E204*0.2</f>
        <v>8.4</v>
      </c>
      <c r="F207" s="38"/>
      <c r="G207" s="38"/>
      <c r="H207" s="38"/>
      <c r="I207" s="38"/>
      <c r="J207" s="38"/>
      <c r="K207" s="38"/>
      <c r="L207" s="38"/>
      <c r="M207" s="38"/>
      <c r="N207" s="38"/>
      <c r="O207" s="38"/>
      <c r="P207" s="38"/>
      <c r="Q207" s="110"/>
    </row>
    <row r="208" spans="1:17">
      <c r="A208" s="113">
        <v>137</v>
      </c>
      <c r="B208" s="113" t="str">
        <f>IF(D208="","","l.c")</f>
        <v>l.c</v>
      </c>
      <c r="C208" s="37" t="s">
        <v>220</v>
      </c>
      <c r="D208" s="7" t="s">
        <v>120</v>
      </c>
      <c r="E208" s="44">
        <f>E204</f>
        <v>42</v>
      </c>
      <c r="F208" s="38"/>
      <c r="G208" s="38"/>
      <c r="H208" s="38"/>
      <c r="I208" s="38"/>
      <c r="J208" s="38"/>
      <c r="K208" s="38"/>
      <c r="L208" s="38"/>
      <c r="M208" s="38"/>
      <c r="N208" s="38"/>
      <c r="O208" s="38"/>
      <c r="P208" s="38"/>
      <c r="Q208" s="110"/>
    </row>
    <row r="209" spans="1:17">
      <c r="A209" s="113">
        <v>138</v>
      </c>
      <c r="B209" s="113" t="str">
        <f t="shared" si="21"/>
        <v>l.c</v>
      </c>
      <c r="C209" s="37" t="s">
        <v>200</v>
      </c>
      <c r="D209" s="7" t="s">
        <v>120</v>
      </c>
      <c r="E209" s="44">
        <f>E204</f>
        <v>42</v>
      </c>
      <c r="F209" s="38"/>
      <c r="G209" s="38"/>
      <c r="H209" s="38"/>
      <c r="I209" s="38"/>
      <c r="J209" s="38"/>
      <c r="K209" s="38"/>
      <c r="L209" s="38"/>
      <c r="M209" s="38"/>
      <c r="N209" s="38"/>
      <c r="O209" s="38"/>
      <c r="P209" s="38"/>
      <c r="Q209" s="110"/>
    </row>
    <row r="210" spans="1:17" ht="23.1">
      <c r="A210" s="113">
        <v>139</v>
      </c>
      <c r="B210" s="113" t="str">
        <f t="shared" si="21"/>
        <v>l.c</v>
      </c>
      <c r="C210" s="37" t="s">
        <v>206</v>
      </c>
      <c r="D210" s="7" t="str">
        <f>D204</f>
        <v>m2</v>
      </c>
      <c r="E210" s="44">
        <f>E204</f>
        <v>42</v>
      </c>
      <c r="F210" s="38"/>
      <c r="G210" s="38"/>
      <c r="H210" s="38"/>
      <c r="I210" s="38"/>
      <c r="J210" s="38"/>
      <c r="K210" s="38"/>
      <c r="L210" s="38"/>
      <c r="M210" s="38"/>
      <c r="N210" s="38"/>
      <c r="O210" s="38"/>
      <c r="P210" s="38"/>
      <c r="Q210" s="110"/>
    </row>
    <row r="211" spans="1:17" ht="23.1">
      <c r="A211" s="113">
        <v>140</v>
      </c>
      <c r="B211" s="113" t="str">
        <f t="shared" si="21"/>
        <v>l.c</v>
      </c>
      <c r="C211" s="37" t="s">
        <v>221</v>
      </c>
      <c r="D211" s="7" t="s">
        <v>98</v>
      </c>
      <c r="E211" s="44">
        <f>E204*0.1</f>
        <v>4.2</v>
      </c>
      <c r="F211" s="38"/>
      <c r="G211" s="38"/>
      <c r="H211" s="38"/>
      <c r="I211" s="38"/>
      <c r="J211" s="38"/>
      <c r="K211" s="38"/>
      <c r="L211" s="38"/>
      <c r="M211" s="38"/>
      <c r="N211" s="38"/>
      <c r="O211" s="38"/>
      <c r="P211" s="38"/>
      <c r="Q211" s="110"/>
    </row>
    <row r="212" spans="1:17">
      <c r="A212" s="113">
        <v>141</v>
      </c>
      <c r="B212" s="113" t="str">
        <f t="shared" si="21"/>
        <v>l.c</v>
      </c>
      <c r="C212" s="37" t="s">
        <v>208</v>
      </c>
      <c r="D212" s="7" t="s">
        <v>98</v>
      </c>
      <c r="E212" s="44">
        <f>E211*1.05</f>
        <v>4.41</v>
      </c>
      <c r="F212" s="38"/>
      <c r="G212" s="38"/>
      <c r="H212" s="38"/>
      <c r="I212" s="38"/>
      <c r="J212" s="38"/>
      <c r="K212" s="38"/>
      <c r="L212" s="38"/>
      <c r="M212" s="38"/>
      <c r="N212" s="38"/>
      <c r="O212" s="38"/>
      <c r="P212" s="38"/>
      <c r="Q212" s="110"/>
    </row>
    <row r="213" spans="1:17">
      <c r="A213" s="113">
        <v>142</v>
      </c>
      <c r="B213" s="113" t="str">
        <f t="shared" ref="B213:B214" si="22">IF(D213="","","l.c")</f>
        <v>l.c</v>
      </c>
      <c r="C213" s="116" t="s">
        <v>222</v>
      </c>
      <c r="D213" s="7" t="s">
        <v>120</v>
      </c>
      <c r="E213" s="44">
        <f>E204</f>
        <v>42</v>
      </c>
      <c r="F213" s="38"/>
      <c r="G213" s="38"/>
      <c r="H213" s="38"/>
      <c r="I213" s="38"/>
      <c r="J213" s="38"/>
      <c r="K213" s="38"/>
      <c r="L213" s="38"/>
      <c r="M213" s="38"/>
      <c r="N213" s="38"/>
      <c r="O213" s="38"/>
      <c r="P213" s="38"/>
      <c r="Q213" s="110"/>
    </row>
    <row r="214" spans="1:17">
      <c r="A214" s="113" t="str">
        <f>IF(D214="","",COUNTIF(B$13:$B214,"l.c"))</f>
        <v/>
      </c>
      <c r="B214" s="113" t="str">
        <f t="shared" si="22"/>
        <v/>
      </c>
      <c r="C214" s="37"/>
      <c r="D214" s="7"/>
      <c r="E214" s="44"/>
      <c r="F214" s="38"/>
      <c r="G214" s="38"/>
      <c r="H214" s="38"/>
      <c r="I214" s="38"/>
      <c r="J214" s="38"/>
      <c r="K214" s="38"/>
      <c r="L214" s="38"/>
      <c r="M214" s="38"/>
      <c r="N214" s="38"/>
      <c r="O214" s="38"/>
      <c r="P214" s="38"/>
      <c r="Q214" s="110"/>
    </row>
    <row r="215" spans="1:17">
      <c r="A215" s="113"/>
      <c r="B215" s="113"/>
      <c r="C215" s="114" t="s">
        <v>223</v>
      </c>
      <c r="D215" s="43" t="s">
        <v>120</v>
      </c>
      <c r="E215" s="120">
        <f>38</f>
        <v>38</v>
      </c>
      <c r="F215" s="38"/>
      <c r="G215" s="38"/>
      <c r="H215" s="38"/>
      <c r="I215" s="38"/>
      <c r="J215" s="38"/>
      <c r="K215" s="38"/>
      <c r="L215" s="38"/>
      <c r="M215" s="38"/>
      <c r="N215" s="38"/>
      <c r="O215" s="38"/>
      <c r="P215" s="38"/>
      <c r="Q215" s="110"/>
    </row>
    <row r="216" spans="1:17">
      <c r="A216" s="113">
        <v>143</v>
      </c>
      <c r="B216" s="113" t="str">
        <f t="shared" ref="B216:B224" si="23">IF(D216="","","l.c")</f>
        <v>l.c</v>
      </c>
      <c r="C216" s="37" t="s">
        <v>134</v>
      </c>
      <c r="D216" s="7" t="s">
        <v>120</v>
      </c>
      <c r="E216" s="44">
        <f>E215</f>
        <v>38</v>
      </c>
      <c r="F216" s="38"/>
      <c r="G216" s="38"/>
      <c r="H216" s="38"/>
      <c r="I216" s="38"/>
      <c r="J216" s="38"/>
      <c r="K216" s="38"/>
      <c r="L216" s="38"/>
      <c r="M216" s="38"/>
      <c r="N216" s="38"/>
      <c r="O216" s="38"/>
      <c r="P216" s="38"/>
      <c r="Q216" s="110"/>
    </row>
    <row r="217" spans="1:17">
      <c r="A217" s="113">
        <v>144</v>
      </c>
      <c r="B217" s="113" t="str">
        <f t="shared" si="23"/>
        <v>l.c</v>
      </c>
      <c r="C217" s="37" t="s">
        <v>198</v>
      </c>
      <c r="D217" s="7" t="s">
        <v>98</v>
      </c>
      <c r="E217" s="44">
        <f>E215*0.3</f>
        <v>11.4</v>
      </c>
      <c r="F217" s="38"/>
      <c r="G217" s="38"/>
      <c r="H217" s="38"/>
      <c r="I217" s="38"/>
      <c r="J217" s="38"/>
      <c r="K217" s="38"/>
      <c r="L217" s="38"/>
      <c r="M217" s="38"/>
      <c r="N217" s="38"/>
      <c r="O217" s="38"/>
      <c r="P217" s="38"/>
      <c r="Q217" s="110"/>
    </row>
    <row r="218" spans="1:17">
      <c r="A218" s="113">
        <v>145</v>
      </c>
      <c r="B218" s="113" t="str">
        <f t="shared" si="23"/>
        <v>l.c</v>
      </c>
      <c r="C218" s="37" t="s">
        <v>199</v>
      </c>
      <c r="D218" s="7" t="s">
        <v>98</v>
      </c>
      <c r="E218" s="44">
        <f>E215*0.2</f>
        <v>7.6</v>
      </c>
      <c r="F218" s="38"/>
      <c r="G218" s="38"/>
      <c r="H218" s="38"/>
      <c r="I218" s="38"/>
      <c r="J218" s="38"/>
      <c r="K218" s="38"/>
      <c r="L218" s="38"/>
      <c r="M218" s="38"/>
      <c r="N218" s="38"/>
      <c r="O218" s="38"/>
      <c r="P218" s="38"/>
      <c r="Q218" s="110"/>
    </row>
    <row r="219" spans="1:17">
      <c r="A219" s="113">
        <v>146</v>
      </c>
      <c r="B219" s="113" t="str">
        <f t="shared" si="23"/>
        <v>l.c</v>
      </c>
      <c r="C219" s="37" t="s">
        <v>200</v>
      </c>
      <c r="D219" s="7" t="s">
        <v>120</v>
      </c>
      <c r="E219" s="44">
        <f>E215</f>
        <v>38</v>
      </c>
      <c r="F219" s="38"/>
      <c r="G219" s="38"/>
      <c r="H219" s="38"/>
      <c r="I219" s="38"/>
      <c r="J219" s="38"/>
      <c r="K219" s="38"/>
      <c r="L219" s="38"/>
      <c r="M219" s="38"/>
      <c r="N219" s="38"/>
      <c r="O219" s="38"/>
      <c r="P219" s="38"/>
      <c r="Q219" s="110"/>
    </row>
    <row r="220" spans="1:17" ht="23.1">
      <c r="A220" s="113">
        <v>147</v>
      </c>
      <c r="B220" s="113" t="str">
        <f t="shared" si="23"/>
        <v>l.c</v>
      </c>
      <c r="C220" s="37" t="s">
        <v>206</v>
      </c>
      <c r="D220" s="7" t="str">
        <f>D215</f>
        <v>m2</v>
      </c>
      <c r="E220" s="44">
        <v>77.8</v>
      </c>
      <c r="F220" s="38"/>
      <c r="G220" s="38"/>
      <c r="H220" s="38"/>
      <c r="I220" s="38"/>
      <c r="J220" s="38"/>
      <c r="K220" s="38"/>
      <c r="L220" s="38"/>
      <c r="M220" s="38"/>
      <c r="N220" s="38"/>
      <c r="O220" s="38"/>
      <c r="P220" s="38"/>
      <c r="Q220" s="110"/>
    </row>
    <row r="221" spans="1:17" ht="23.1">
      <c r="A221" s="113">
        <v>148</v>
      </c>
      <c r="B221" s="113" t="str">
        <f t="shared" si="23"/>
        <v>l.c</v>
      </c>
      <c r="C221" s="37" t="s">
        <v>211</v>
      </c>
      <c r="D221" s="7" t="s">
        <v>98</v>
      </c>
      <c r="E221" s="44">
        <f>E215*0.08</f>
        <v>3.04</v>
      </c>
      <c r="F221" s="38"/>
      <c r="G221" s="38"/>
      <c r="H221" s="38"/>
      <c r="I221" s="38"/>
      <c r="J221" s="38"/>
      <c r="K221" s="38"/>
      <c r="L221" s="38"/>
      <c r="M221" s="38"/>
      <c r="N221" s="38"/>
      <c r="O221" s="38"/>
      <c r="P221" s="38"/>
      <c r="Q221" s="110"/>
    </row>
    <row r="222" spans="1:17">
      <c r="A222" s="113">
        <v>149</v>
      </c>
      <c r="B222" s="113" t="str">
        <f t="shared" si="23"/>
        <v>l.c</v>
      </c>
      <c r="C222" s="37" t="s">
        <v>208</v>
      </c>
      <c r="D222" s="7" t="s">
        <v>98</v>
      </c>
      <c r="E222" s="44">
        <f>E221*1.05</f>
        <v>3.19</v>
      </c>
      <c r="F222" s="38"/>
      <c r="G222" s="38"/>
      <c r="H222" s="38"/>
      <c r="I222" s="38"/>
      <c r="J222" s="38"/>
      <c r="K222" s="38"/>
      <c r="L222" s="38"/>
      <c r="M222" s="38"/>
      <c r="N222" s="38"/>
      <c r="O222" s="38"/>
      <c r="P222" s="38"/>
      <c r="Q222" s="110"/>
    </row>
    <row r="223" spans="1:17">
      <c r="A223" s="113">
        <v>150</v>
      </c>
      <c r="B223" s="113" t="str">
        <f t="shared" si="23"/>
        <v>l.c</v>
      </c>
      <c r="C223" s="116" t="s">
        <v>224</v>
      </c>
      <c r="D223" s="7" t="s">
        <v>120</v>
      </c>
      <c r="E223" s="44">
        <f>E215</f>
        <v>38</v>
      </c>
      <c r="F223" s="38"/>
      <c r="G223" s="38"/>
      <c r="H223" s="38"/>
      <c r="I223" s="38"/>
      <c r="J223" s="38"/>
      <c r="K223" s="38"/>
      <c r="L223" s="38"/>
      <c r="M223" s="38"/>
      <c r="N223" s="38"/>
      <c r="O223" s="38"/>
      <c r="P223" s="38"/>
      <c r="Q223" s="110"/>
    </row>
    <row r="224" spans="1:17">
      <c r="A224" s="113" t="str">
        <f>IF(D224="","",COUNTIF(B$13:$B224,"l.c"))</f>
        <v/>
      </c>
      <c r="B224" s="113" t="str">
        <f t="shared" si="23"/>
        <v/>
      </c>
      <c r="C224" s="37"/>
      <c r="D224" s="7"/>
      <c r="E224" s="44"/>
      <c r="F224" s="38"/>
      <c r="G224" s="38"/>
      <c r="H224" s="38"/>
      <c r="I224" s="38"/>
      <c r="J224" s="38"/>
      <c r="K224" s="38"/>
      <c r="L224" s="38"/>
      <c r="M224" s="38"/>
      <c r="N224" s="38"/>
      <c r="O224" s="38"/>
      <c r="P224" s="38"/>
      <c r="Q224" s="110"/>
    </row>
    <row r="225" spans="1:17">
      <c r="A225" s="113"/>
      <c r="B225" s="113"/>
      <c r="C225" s="114" t="s">
        <v>225</v>
      </c>
      <c r="D225" s="43" t="s">
        <v>120</v>
      </c>
      <c r="E225" s="120">
        <f>6</f>
        <v>6</v>
      </c>
      <c r="F225" s="38"/>
      <c r="G225" s="38"/>
      <c r="H225" s="38"/>
      <c r="I225" s="38"/>
      <c r="J225" s="38"/>
      <c r="K225" s="38"/>
      <c r="L225" s="38"/>
      <c r="M225" s="38"/>
      <c r="N225" s="38"/>
      <c r="O225" s="38"/>
      <c r="P225" s="38"/>
      <c r="Q225" s="110"/>
    </row>
    <row r="226" spans="1:17">
      <c r="A226" s="113">
        <v>151</v>
      </c>
      <c r="B226" s="113" t="str">
        <f t="shared" ref="B226:B234" si="24">IF(D226="","","l.c")</f>
        <v>l.c</v>
      </c>
      <c r="C226" s="37" t="s">
        <v>134</v>
      </c>
      <c r="D226" s="7" t="s">
        <v>120</v>
      </c>
      <c r="E226" s="44">
        <f>E225</f>
        <v>6</v>
      </c>
      <c r="F226" s="38"/>
      <c r="G226" s="38"/>
      <c r="H226" s="38"/>
      <c r="I226" s="38"/>
      <c r="J226" s="38"/>
      <c r="K226" s="38"/>
      <c r="L226" s="38"/>
      <c r="M226" s="38"/>
      <c r="N226" s="38"/>
      <c r="O226" s="38"/>
      <c r="P226" s="38"/>
      <c r="Q226" s="110"/>
    </row>
    <row r="227" spans="1:17">
      <c r="A227" s="113">
        <v>152</v>
      </c>
      <c r="B227" s="113" t="str">
        <f t="shared" si="24"/>
        <v>l.c</v>
      </c>
      <c r="C227" s="37" t="s">
        <v>198</v>
      </c>
      <c r="D227" s="7" t="s">
        <v>98</v>
      </c>
      <c r="E227" s="44">
        <f>E225*0.3</f>
        <v>1.8</v>
      </c>
      <c r="F227" s="38"/>
      <c r="G227" s="38"/>
      <c r="H227" s="38"/>
      <c r="I227" s="38"/>
      <c r="J227" s="38"/>
      <c r="K227" s="38"/>
      <c r="L227" s="38"/>
      <c r="M227" s="38"/>
      <c r="N227" s="38"/>
      <c r="O227" s="38"/>
      <c r="P227" s="38"/>
      <c r="Q227" s="110"/>
    </row>
    <row r="228" spans="1:17">
      <c r="A228" s="113">
        <v>153</v>
      </c>
      <c r="B228" s="113" t="str">
        <f t="shared" si="24"/>
        <v>l.c</v>
      </c>
      <c r="C228" s="37" t="s">
        <v>199</v>
      </c>
      <c r="D228" s="7" t="s">
        <v>98</v>
      </c>
      <c r="E228" s="44">
        <f>E225*0.2</f>
        <v>1.2</v>
      </c>
      <c r="F228" s="38"/>
      <c r="G228" s="38"/>
      <c r="H228" s="38"/>
      <c r="I228" s="38"/>
      <c r="J228" s="38"/>
      <c r="K228" s="38"/>
      <c r="L228" s="38"/>
      <c r="M228" s="38"/>
      <c r="N228" s="38"/>
      <c r="O228" s="38"/>
      <c r="P228" s="38"/>
      <c r="Q228" s="110"/>
    </row>
    <row r="229" spans="1:17">
      <c r="A229" s="113">
        <v>154</v>
      </c>
      <c r="B229" s="113" t="str">
        <f t="shared" si="24"/>
        <v>l.c</v>
      </c>
      <c r="C229" s="37" t="s">
        <v>220</v>
      </c>
      <c r="D229" s="7" t="s">
        <v>120</v>
      </c>
      <c r="E229" s="44">
        <f>E225</f>
        <v>6</v>
      </c>
      <c r="F229" s="38"/>
      <c r="G229" s="38"/>
      <c r="H229" s="38"/>
      <c r="I229" s="38"/>
      <c r="J229" s="38"/>
      <c r="K229" s="38"/>
      <c r="L229" s="38"/>
      <c r="M229" s="38"/>
      <c r="N229" s="38"/>
      <c r="O229" s="38"/>
      <c r="P229" s="38"/>
      <c r="Q229" s="110"/>
    </row>
    <row r="230" spans="1:17">
      <c r="A230" s="113">
        <v>155</v>
      </c>
      <c r="B230" s="113" t="str">
        <f t="shared" si="24"/>
        <v>l.c</v>
      </c>
      <c r="C230" s="37" t="s">
        <v>200</v>
      </c>
      <c r="D230" s="7" t="s">
        <v>120</v>
      </c>
      <c r="E230" s="44">
        <f>E225</f>
        <v>6</v>
      </c>
      <c r="F230" s="38"/>
      <c r="G230" s="38"/>
      <c r="H230" s="38"/>
      <c r="I230" s="38"/>
      <c r="J230" s="38"/>
      <c r="K230" s="38"/>
      <c r="L230" s="38"/>
      <c r="M230" s="38"/>
      <c r="N230" s="38"/>
      <c r="O230" s="38"/>
      <c r="P230" s="38"/>
      <c r="Q230" s="110"/>
    </row>
    <row r="231" spans="1:17" ht="23.1">
      <c r="A231" s="113">
        <v>156</v>
      </c>
      <c r="B231" s="113" t="str">
        <f t="shared" si="24"/>
        <v>l.c</v>
      </c>
      <c r="C231" s="37" t="s">
        <v>206</v>
      </c>
      <c r="D231" s="7" t="str">
        <f>D225</f>
        <v>m2</v>
      </c>
      <c r="E231" s="44">
        <f>E225</f>
        <v>6</v>
      </c>
      <c r="F231" s="38"/>
      <c r="G231" s="38"/>
      <c r="H231" s="38"/>
      <c r="I231" s="38"/>
      <c r="J231" s="38"/>
      <c r="K231" s="38"/>
      <c r="L231" s="38"/>
      <c r="M231" s="38"/>
      <c r="N231" s="38"/>
      <c r="O231" s="38"/>
      <c r="P231" s="38"/>
      <c r="Q231" s="110"/>
    </row>
    <row r="232" spans="1:17" ht="23.1">
      <c r="A232" s="113">
        <v>157</v>
      </c>
      <c r="B232" s="113" t="str">
        <f t="shared" si="24"/>
        <v>l.c</v>
      </c>
      <c r="C232" s="37" t="s">
        <v>207</v>
      </c>
      <c r="D232" s="7" t="s">
        <v>98</v>
      </c>
      <c r="E232" s="44">
        <f>E225*0.1</f>
        <v>0.6</v>
      </c>
      <c r="F232" s="38"/>
      <c r="G232" s="38"/>
      <c r="H232" s="38"/>
      <c r="I232" s="38"/>
      <c r="J232" s="38"/>
      <c r="K232" s="38"/>
      <c r="L232" s="38"/>
      <c r="M232" s="38"/>
      <c r="N232" s="38"/>
      <c r="O232" s="38"/>
      <c r="P232" s="38"/>
      <c r="Q232" s="110"/>
    </row>
    <row r="233" spans="1:17">
      <c r="A233" s="113">
        <v>158</v>
      </c>
      <c r="B233" s="113" t="str">
        <f t="shared" si="24"/>
        <v>l.c</v>
      </c>
      <c r="C233" s="37" t="s">
        <v>208</v>
      </c>
      <c r="D233" s="7" t="s">
        <v>98</v>
      </c>
      <c r="E233" s="44">
        <f>E232*1.05</f>
        <v>0.63</v>
      </c>
      <c r="F233" s="38"/>
      <c r="G233" s="38"/>
      <c r="H233" s="38"/>
      <c r="I233" s="38"/>
      <c r="J233" s="38"/>
      <c r="K233" s="38"/>
      <c r="L233" s="38"/>
      <c r="M233" s="38"/>
      <c r="N233" s="38"/>
      <c r="O233" s="38"/>
      <c r="P233" s="38"/>
      <c r="Q233" s="110"/>
    </row>
    <row r="234" spans="1:17">
      <c r="A234" s="113">
        <v>159</v>
      </c>
      <c r="B234" s="113" t="str">
        <f t="shared" si="24"/>
        <v>l.c</v>
      </c>
      <c r="C234" s="116" t="s">
        <v>226</v>
      </c>
      <c r="D234" s="7" t="s">
        <v>120</v>
      </c>
      <c r="E234" s="44">
        <f>E225</f>
        <v>6</v>
      </c>
      <c r="F234" s="38"/>
      <c r="G234" s="38"/>
      <c r="H234" s="38"/>
      <c r="I234" s="38"/>
      <c r="J234" s="38"/>
      <c r="K234" s="38"/>
      <c r="L234" s="38"/>
      <c r="M234" s="38"/>
      <c r="N234" s="38"/>
      <c r="O234" s="38"/>
      <c r="P234" s="38"/>
      <c r="Q234" s="110"/>
    </row>
    <row r="235" spans="1:17">
      <c r="A235" s="113" t="str">
        <f>IF(D235="","",COUNTIF(B$13:$B235,"l.c"))</f>
        <v/>
      </c>
      <c r="B235" s="113" t="str">
        <f t="shared" si="21"/>
        <v/>
      </c>
      <c r="C235" s="116"/>
      <c r="D235" s="7"/>
      <c r="E235" s="44"/>
      <c r="F235" s="38"/>
      <c r="G235" s="38"/>
      <c r="H235" s="38"/>
      <c r="I235" s="38"/>
      <c r="J235" s="38"/>
      <c r="K235" s="38"/>
      <c r="L235" s="38"/>
      <c r="M235" s="38"/>
      <c r="N235" s="38"/>
      <c r="O235" s="38"/>
      <c r="P235" s="38"/>
      <c r="Q235" s="110"/>
    </row>
    <row r="236" spans="1:17">
      <c r="A236" s="113" t="str">
        <f>IF(D236="","",COUNTIF(B$13:$B236,"l.c"))</f>
        <v/>
      </c>
      <c r="B236" s="113" t="str">
        <f t="shared" si="21"/>
        <v/>
      </c>
      <c r="C236" s="115" t="s">
        <v>227</v>
      </c>
      <c r="D236" s="7"/>
      <c r="E236" s="44"/>
      <c r="F236" s="38"/>
      <c r="G236" s="38"/>
      <c r="H236" s="38"/>
      <c r="I236" s="38"/>
      <c r="J236" s="38"/>
      <c r="K236" s="38"/>
      <c r="L236" s="38"/>
      <c r="M236" s="38"/>
      <c r="N236" s="38"/>
      <c r="O236" s="38"/>
      <c r="P236" s="38"/>
      <c r="Q236" s="110"/>
    </row>
    <row r="237" spans="1:17">
      <c r="A237" s="113" t="str">
        <f>IF(D237="","",COUNTIF(B$13:$B237,"l.c"))</f>
        <v/>
      </c>
      <c r="B237" s="113" t="str">
        <f t="shared" si="21"/>
        <v/>
      </c>
      <c r="C237" s="114" t="s">
        <v>228</v>
      </c>
      <c r="D237" s="7"/>
      <c r="E237" s="44"/>
      <c r="F237" s="38"/>
      <c r="G237" s="38"/>
      <c r="H237" s="38"/>
      <c r="I237" s="38"/>
      <c r="J237" s="38"/>
      <c r="K237" s="38"/>
      <c r="L237" s="38"/>
      <c r="M237" s="38"/>
      <c r="N237" s="38"/>
      <c r="O237" s="38"/>
      <c r="P237" s="38"/>
      <c r="Q237" s="110"/>
    </row>
    <row r="238" spans="1:17" ht="69">
      <c r="A238" s="113">
        <v>160</v>
      </c>
      <c r="B238" s="113" t="str">
        <f t="shared" si="21"/>
        <v>l.c</v>
      </c>
      <c r="C238" s="37" t="s">
        <v>229</v>
      </c>
      <c r="D238" s="7" t="s">
        <v>113</v>
      </c>
      <c r="E238" s="130">
        <v>4</v>
      </c>
      <c r="F238" s="38"/>
      <c r="G238" s="38"/>
      <c r="H238" s="38"/>
      <c r="I238" s="38"/>
      <c r="J238" s="38"/>
      <c r="K238" s="38"/>
      <c r="L238" s="38"/>
      <c r="M238" s="38"/>
      <c r="N238" s="38"/>
      <c r="O238" s="38"/>
      <c r="P238" s="38"/>
      <c r="Q238" s="110"/>
    </row>
    <row r="239" spans="1:17">
      <c r="A239" s="113" t="str">
        <f>IF(D239="","",COUNTIF(B$13:$B239,"l.c"))</f>
        <v/>
      </c>
      <c r="B239" s="113" t="str">
        <f t="shared" ref="B239:B240" si="25">IF(D239="","","l.c")</f>
        <v/>
      </c>
      <c r="C239" s="114" t="s">
        <v>230</v>
      </c>
      <c r="D239" s="7"/>
      <c r="E239" s="44"/>
      <c r="F239" s="38"/>
      <c r="G239" s="38"/>
      <c r="H239" s="38"/>
      <c r="I239" s="38"/>
      <c r="J239" s="38"/>
      <c r="K239" s="38"/>
      <c r="L239" s="38"/>
      <c r="M239" s="38"/>
      <c r="N239" s="38"/>
      <c r="O239" s="38"/>
      <c r="P239" s="38"/>
      <c r="Q239" s="110"/>
    </row>
    <row r="240" spans="1:17" ht="23.1">
      <c r="A240" s="113">
        <v>161</v>
      </c>
      <c r="B240" s="113" t="str">
        <f t="shared" si="25"/>
        <v>l.c</v>
      </c>
      <c r="C240" s="37" t="s">
        <v>231</v>
      </c>
      <c r="D240" s="7" t="s">
        <v>113</v>
      </c>
      <c r="E240" s="130">
        <v>1</v>
      </c>
      <c r="F240" s="38"/>
      <c r="G240" s="38"/>
      <c r="H240" s="38"/>
      <c r="I240" s="38"/>
      <c r="J240" s="38"/>
      <c r="K240" s="38"/>
      <c r="L240" s="38"/>
      <c r="M240" s="38"/>
      <c r="N240" s="38"/>
      <c r="O240" s="38"/>
      <c r="P240" s="38"/>
      <c r="Q240" s="110"/>
    </row>
    <row r="241" spans="1:17" ht="23.1">
      <c r="A241" s="113">
        <v>162</v>
      </c>
      <c r="B241" s="113" t="str">
        <f t="shared" ref="B241" si="26">IF(D241="","","l.c")</f>
        <v>l.c</v>
      </c>
      <c r="C241" s="37" t="s">
        <v>232</v>
      </c>
      <c r="D241" s="7" t="s">
        <v>113</v>
      </c>
      <c r="E241" s="130">
        <v>1</v>
      </c>
      <c r="F241" s="38"/>
      <c r="G241" s="38"/>
      <c r="H241" s="38"/>
      <c r="I241" s="38"/>
      <c r="J241" s="38"/>
      <c r="K241" s="38"/>
      <c r="L241" s="38"/>
      <c r="M241" s="38"/>
      <c r="N241" s="38"/>
      <c r="O241" s="38"/>
      <c r="P241" s="38"/>
      <c r="Q241" s="110"/>
    </row>
    <row r="242" spans="1:17">
      <c r="A242" s="113"/>
      <c r="B242" s="113"/>
      <c r="C242" s="37"/>
      <c r="D242" s="7"/>
      <c r="E242" s="130"/>
      <c r="F242" s="38"/>
      <c r="G242" s="38"/>
      <c r="H242" s="38"/>
      <c r="I242" s="38"/>
      <c r="J242" s="38"/>
      <c r="K242" s="38"/>
      <c r="L242" s="38"/>
      <c r="M242" s="38"/>
      <c r="N242" s="38"/>
      <c r="O242" s="38"/>
      <c r="P242" s="38"/>
      <c r="Q242" s="110"/>
    </row>
    <row r="243" spans="1:17">
      <c r="A243" s="113" t="str">
        <f>IF(D243="","",COUNTIF(B$13:$B243,"l.c"))</f>
        <v/>
      </c>
      <c r="B243" s="113" t="str">
        <f t="shared" si="21"/>
        <v/>
      </c>
      <c r="C243" s="114" t="s">
        <v>233</v>
      </c>
      <c r="D243" s="7"/>
      <c r="E243" s="44"/>
      <c r="F243" s="38"/>
      <c r="G243" s="38"/>
      <c r="H243" s="38"/>
      <c r="I243" s="38"/>
      <c r="J243" s="38"/>
      <c r="K243" s="38"/>
      <c r="L243" s="38"/>
      <c r="M243" s="38"/>
      <c r="N243" s="38"/>
      <c r="O243" s="38"/>
      <c r="P243" s="38"/>
      <c r="Q243" s="110"/>
    </row>
    <row r="244" spans="1:17" ht="23.1">
      <c r="A244" s="113">
        <v>163</v>
      </c>
      <c r="B244" s="113" t="str">
        <f t="shared" ref="B244" si="27">IF(D244="","","l.c")</f>
        <v>l.c</v>
      </c>
      <c r="C244" s="37" t="s">
        <v>234</v>
      </c>
      <c r="D244" s="7" t="s">
        <v>113</v>
      </c>
      <c r="E244" s="130">
        <v>2</v>
      </c>
      <c r="F244" s="38"/>
      <c r="G244" s="38"/>
      <c r="H244" s="38"/>
      <c r="I244" s="38"/>
      <c r="J244" s="38"/>
      <c r="K244" s="38"/>
      <c r="L244" s="38"/>
      <c r="M244" s="38"/>
      <c r="N244" s="38"/>
      <c r="O244" s="38"/>
      <c r="P244" s="38"/>
      <c r="Q244" s="110"/>
    </row>
    <row r="245" spans="1:17" ht="23.1">
      <c r="A245" s="113">
        <f>A244+1</f>
        <v>164</v>
      </c>
      <c r="B245" s="113" t="str">
        <f t="shared" si="21"/>
        <v>l.c</v>
      </c>
      <c r="C245" s="37" t="s">
        <v>235</v>
      </c>
      <c r="D245" s="7" t="s">
        <v>113</v>
      </c>
      <c r="E245" s="130">
        <v>2</v>
      </c>
      <c r="F245" s="38"/>
      <c r="G245" s="38"/>
      <c r="H245" s="38"/>
      <c r="I245" s="38"/>
      <c r="J245" s="38"/>
      <c r="K245" s="38"/>
      <c r="L245" s="38"/>
      <c r="M245" s="38"/>
      <c r="N245" s="38"/>
      <c r="O245" s="38"/>
      <c r="P245" s="38"/>
      <c r="Q245" s="110"/>
    </row>
    <row r="246" spans="1:17" ht="23.1">
      <c r="A246" s="113">
        <v>165</v>
      </c>
      <c r="B246" s="113" t="str">
        <f t="shared" si="21"/>
        <v>l.c</v>
      </c>
      <c r="C246" s="37" t="s">
        <v>236</v>
      </c>
      <c r="D246" s="7" t="s">
        <v>113</v>
      </c>
      <c r="E246" s="130">
        <v>1</v>
      </c>
      <c r="F246" s="38"/>
      <c r="G246" s="38"/>
      <c r="H246" s="38"/>
      <c r="I246" s="38"/>
      <c r="J246" s="38"/>
      <c r="K246" s="38"/>
      <c r="L246" s="38"/>
      <c r="M246" s="38"/>
      <c r="N246" s="38"/>
      <c r="O246" s="38"/>
      <c r="P246" s="38"/>
      <c r="Q246" s="110"/>
    </row>
    <row r="247" spans="1:17" ht="23.1">
      <c r="A247" s="113">
        <v>166</v>
      </c>
      <c r="B247" s="113" t="str">
        <f t="shared" ref="B247" si="28">IF(D247="","","l.c")</f>
        <v>l.c</v>
      </c>
      <c r="C247" s="37" t="s">
        <v>237</v>
      </c>
      <c r="D247" s="7" t="s">
        <v>113</v>
      </c>
      <c r="E247" s="130">
        <v>1</v>
      </c>
      <c r="F247" s="38"/>
      <c r="G247" s="38"/>
      <c r="H247" s="38"/>
      <c r="I247" s="38"/>
      <c r="J247" s="38"/>
      <c r="K247" s="38"/>
      <c r="L247" s="38"/>
      <c r="M247" s="38"/>
      <c r="N247" s="38"/>
      <c r="O247" s="38"/>
      <c r="P247" s="38"/>
      <c r="Q247" s="110"/>
    </row>
    <row r="248" spans="1:17">
      <c r="A248" s="113" t="str">
        <f>IF(D248="","",COUNTIF(B$13:$B248,"l.c"))</f>
        <v/>
      </c>
      <c r="B248" s="113" t="str">
        <f t="shared" si="21"/>
        <v/>
      </c>
      <c r="C248" s="37"/>
      <c r="D248" s="7"/>
      <c r="E248" s="44"/>
      <c r="F248" s="38"/>
      <c r="G248" s="38"/>
      <c r="H248" s="38"/>
      <c r="I248" s="38"/>
      <c r="J248" s="38"/>
      <c r="K248" s="38"/>
      <c r="L248" s="38"/>
      <c r="M248" s="38"/>
      <c r="N248" s="38"/>
      <c r="O248" s="38"/>
      <c r="P248" s="38"/>
      <c r="Q248" s="110"/>
    </row>
    <row r="249" spans="1:17">
      <c r="A249" s="113" t="str">
        <f>IF(D249="","",COUNTIF(B$13:$B249,"l.c"))</f>
        <v/>
      </c>
      <c r="B249" s="113" t="str">
        <f t="shared" si="21"/>
        <v/>
      </c>
      <c r="C249" s="114" t="s">
        <v>238</v>
      </c>
      <c r="D249" s="7"/>
      <c r="E249" s="44"/>
      <c r="F249" s="38"/>
      <c r="G249" s="38"/>
      <c r="H249" s="38"/>
      <c r="I249" s="38"/>
      <c r="J249" s="38"/>
      <c r="K249" s="38"/>
      <c r="L249" s="38"/>
      <c r="M249" s="38"/>
      <c r="N249" s="38"/>
      <c r="O249" s="38"/>
      <c r="P249" s="38"/>
      <c r="Q249" s="110"/>
    </row>
    <row r="250" spans="1:17" ht="45.95">
      <c r="A250" s="113">
        <v>167</v>
      </c>
      <c r="B250" s="113" t="str">
        <f t="shared" si="21"/>
        <v>l.c</v>
      </c>
      <c r="C250" s="116" t="s">
        <v>239</v>
      </c>
      <c r="D250" s="7" t="s">
        <v>113</v>
      </c>
      <c r="E250" s="7">
        <v>2</v>
      </c>
      <c r="F250" s="38"/>
      <c r="G250" s="38"/>
      <c r="H250" s="38"/>
      <c r="I250" s="38"/>
      <c r="J250" s="38"/>
      <c r="K250" s="38"/>
      <c r="L250" s="38"/>
      <c r="M250" s="38"/>
      <c r="N250" s="38"/>
      <c r="O250" s="38"/>
      <c r="P250" s="38"/>
      <c r="Q250" s="110"/>
    </row>
    <row r="251" spans="1:17" ht="45.95">
      <c r="A251" s="113">
        <v>168</v>
      </c>
      <c r="B251" s="113" t="str">
        <f t="shared" si="21"/>
        <v>l.c</v>
      </c>
      <c r="C251" s="116" t="s">
        <v>240</v>
      </c>
      <c r="D251" s="7" t="s">
        <v>113</v>
      </c>
      <c r="E251" s="7">
        <v>2</v>
      </c>
      <c r="F251" s="38"/>
      <c r="G251" s="38"/>
      <c r="H251" s="38"/>
      <c r="I251" s="38"/>
      <c r="J251" s="38"/>
      <c r="K251" s="38"/>
      <c r="L251" s="38"/>
      <c r="M251" s="38"/>
      <c r="N251" s="38"/>
      <c r="O251" s="38"/>
      <c r="P251" s="38"/>
      <c r="Q251" s="110"/>
    </row>
    <row r="252" spans="1:17" ht="45.95">
      <c r="A252" s="113">
        <v>169</v>
      </c>
      <c r="B252" s="113" t="str">
        <f t="shared" ref="B252" si="29">IF(D252="","","l.c")</f>
        <v>l.c</v>
      </c>
      <c r="C252" s="116" t="s">
        <v>241</v>
      </c>
      <c r="D252" s="7" t="s">
        <v>113</v>
      </c>
      <c r="E252" s="7">
        <v>2</v>
      </c>
      <c r="F252" s="38"/>
      <c r="G252" s="38"/>
      <c r="H252" s="38"/>
      <c r="I252" s="38"/>
      <c r="J252" s="38"/>
      <c r="K252" s="38"/>
      <c r="L252" s="38"/>
      <c r="M252" s="38"/>
      <c r="N252" s="38"/>
      <c r="O252" s="38"/>
      <c r="P252" s="38"/>
      <c r="Q252" s="110"/>
    </row>
    <row r="253" spans="1:17" ht="34.5">
      <c r="A253" s="113">
        <v>170</v>
      </c>
      <c r="B253" s="113" t="str">
        <f t="shared" ref="B253" si="30">IF(D253="","","l.c")</f>
        <v>l.c</v>
      </c>
      <c r="C253" s="116" t="s">
        <v>242</v>
      </c>
      <c r="D253" s="7" t="s">
        <v>113</v>
      </c>
      <c r="E253" s="7">
        <v>1</v>
      </c>
      <c r="F253" s="38"/>
      <c r="G253" s="38"/>
      <c r="H253" s="38"/>
      <c r="I253" s="38"/>
      <c r="J253" s="38"/>
      <c r="K253" s="38"/>
      <c r="L253" s="38"/>
      <c r="M253" s="38"/>
      <c r="N253" s="38"/>
      <c r="O253" s="38"/>
      <c r="P253" s="38"/>
      <c r="Q253" s="110"/>
    </row>
    <row r="254" spans="1:17">
      <c r="A254" s="113">
        <v>171</v>
      </c>
      <c r="B254" s="113" t="str">
        <f t="shared" si="21"/>
        <v>l.c</v>
      </c>
      <c r="C254" s="116" t="s">
        <v>243</v>
      </c>
      <c r="D254" s="7" t="s">
        <v>68</v>
      </c>
      <c r="E254" s="7">
        <f>66.92</f>
        <v>66.92</v>
      </c>
      <c r="F254" s="38"/>
      <c r="G254" s="38"/>
      <c r="H254" s="38"/>
      <c r="I254" s="38"/>
      <c r="J254" s="38"/>
      <c r="K254" s="38"/>
      <c r="L254" s="38"/>
      <c r="M254" s="38"/>
      <c r="N254" s="38"/>
      <c r="O254" s="38"/>
      <c r="P254" s="38"/>
      <c r="Q254" s="110"/>
    </row>
    <row r="255" spans="1:17" ht="23.1">
      <c r="A255" s="113">
        <v>172</v>
      </c>
      <c r="B255" s="113" t="str">
        <f t="shared" si="21"/>
        <v>l.c</v>
      </c>
      <c r="C255" s="116" t="s">
        <v>244</v>
      </c>
      <c r="D255" s="7" t="s">
        <v>76</v>
      </c>
      <c r="E255" s="7">
        <v>1</v>
      </c>
      <c r="F255" s="38"/>
      <c r="G255" s="38"/>
      <c r="H255" s="38"/>
      <c r="I255" s="38"/>
      <c r="J255" s="38"/>
      <c r="K255" s="38"/>
      <c r="L255" s="38"/>
      <c r="M255" s="38"/>
      <c r="N255" s="38"/>
      <c r="O255" s="38"/>
      <c r="P255" s="38"/>
      <c r="Q255" s="110"/>
    </row>
    <row r="256" spans="1:17">
      <c r="A256" s="113"/>
      <c r="B256" s="113" t="str">
        <f t="shared" si="21"/>
        <v/>
      </c>
      <c r="C256" s="33"/>
      <c r="D256" s="7"/>
      <c r="E256" s="7"/>
      <c r="F256" s="38"/>
      <c r="G256" s="38"/>
      <c r="H256" s="38"/>
      <c r="I256" s="38"/>
      <c r="J256" s="38"/>
      <c r="K256" s="38"/>
      <c r="L256" s="38"/>
      <c r="M256" s="38"/>
      <c r="N256" s="38"/>
      <c r="O256" s="38"/>
      <c r="P256" s="38"/>
      <c r="Q256" s="110"/>
    </row>
    <row r="257" spans="1:17">
      <c r="A257" s="46"/>
      <c r="B257" s="205" t="s">
        <v>92</v>
      </c>
      <c r="C257" s="205"/>
      <c r="D257" s="205"/>
      <c r="E257" s="205"/>
      <c r="F257" s="205"/>
      <c r="G257" s="205"/>
      <c r="H257" s="205"/>
      <c r="I257" s="205"/>
      <c r="J257" s="205"/>
      <c r="K257" s="205"/>
      <c r="L257" s="65">
        <f>SUM(L15:L256)</f>
        <v>0</v>
      </c>
      <c r="M257" s="65">
        <f>SUM(M15:M256)</f>
        <v>0</v>
      </c>
      <c r="N257" s="65">
        <f>SUM(N15:N256)</f>
        <v>0</v>
      </c>
      <c r="O257" s="65">
        <f>SUM(O15:O256)</f>
        <v>0</v>
      </c>
      <c r="P257" s="65">
        <f>SUM(P15:P256)</f>
        <v>0</v>
      </c>
      <c r="Q257" s="110"/>
    </row>
    <row r="258" spans="1:17">
      <c r="A258" s="27"/>
      <c r="B258" s="27"/>
      <c r="C258" s="28"/>
      <c r="D258" s="27"/>
      <c r="E258" s="27"/>
      <c r="F258" s="27"/>
      <c r="G258" s="27"/>
      <c r="H258" s="27"/>
      <c r="I258" s="27"/>
      <c r="J258" s="27"/>
      <c r="K258" s="27"/>
      <c r="L258" s="27"/>
      <c r="M258" s="27"/>
      <c r="N258" s="27"/>
      <c r="O258" s="27"/>
      <c r="P258" s="27"/>
      <c r="Q258" s="110"/>
    </row>
    <row r="259" spans="1:17">
      <c r="A259" s="27"/>
      <c r="B259" s="27"/>
      <c r="C259" s="28"/>
      <c r="D259" s="27"/>
      <c r="E259" s="27"/>
      <c r="F259" s="27"/>
      <c r="G259" s="27"/>
      <c r="H259" s="27"/>
      <c r="I259" s="27"/>
      <c r="J259" s="27"/>
      <c r="K259" s="27"/>
      <c r="L259" s="27"/>
      <c r="M259" s="27"/>
      <c r="N259" s="27"/>
      <c r="O259" s="27"/>
      <c r="P259" s="27"/>
      <c r="Q259" s="110"/>
    </row>
    <row r="260" spans="1:17">
      <c r="A260" s="21" t="s">
        <v>9</v>
      </c>
      <c r="B260" s="21"/>
      <c r="C260" s="21"/>
      <c r="D260" s="21"/>
      <c r="E260" s="121"/>
      <c r="F260" s="21"/>
      <c r="G260" s="21"/>
      <c r="H260" s="22"/>
      <c r="I260" s="22"/>
      <c r="J260" s="22"/>
      <c r="K260" s="22"/>
      <c r="L260" s="22"/>
      <c r="M260" s="22"/>
      <c r="N260" s="29"/>
      <c r="O260" s="29"/>
      <c r="P260" s="29"/>
      <c r="Q260" s="110"/>
    </row>
    <row r="261" spans="1:17" ht="11.45" customHeight="1">
      <c r="A261" s="223" t="s">
        <v>10</v>
      </c>
      <c r="B261" s="223"/>
      <c r="C261" s="223"/>
      <c r="D261" s="223"/>
      <c r="E261" s="223"/>
      <c r="F261" s="223"/>
      <c r="G261" s="223"/>
      <c r="H261" s="22"/>
      <c r="I261" s="223"/>
      <c r="J261" s="223"/>
      <c r="K261" s="223"/>
      <c r="L261" s="223"/>
      <c r="M261" s="223"/>
      <c r="N261" s="27"/>
      <c r="O261" s="27"/>
      <c r="P261" s="27"/>
      <c r="Q261" s="110"/>
    </row>
    <row r="262" spans="1:17">
      <c r="A262" s="22"/>
      <c r="B262" s="189"/>
      <c r="C262" s="189"/>
      <c r="D262" s="189"/>
      <c r="E262" s="27"/>
      <c r="F262" s="189"/>
      <c r="G262" s="189"/>
      <c r="H262" s="22"/>
      <c r="I262" s="189"/>
      <c r="J262" s="189"/>
      <c r="K262" s="189"/>
      <c r="L262" s="189"/>
      <c r="M262" s="189"/>
      <c r="N262" s="27"/>
      <c r="O262" s="27"/>
      <c r="P262" s="27"/>
      <c r="Q262" s="110"/>
    </row>
    <row r="263" spans="1:17">
      <c r="A263" s="1" t="str">
        <f>Koptāme!$A$28</f>
        <v>Tāme sastādīta: 2025.gada 20. oktobrī</v>
      </c>
      <c r="B263" s="1"/>
      <c r="C263" s="27"/>
      <c r="D263" s="27"/>
      <c r="E263" s="27"/>
      <c r="F263" s="27"/>
      <c r="G263" s="27"/>
      <c r="H263" s="27"/>
      <c r="I263" s="27"/>
      <c r="J263" s="27"/>
      <c r="K263" s="27"/>
      <c r="L263" s="27"/>
      <c r="M263" s="27"/>
      <c r="N263" s="27"/>
      <c r="O263" s="27"/>
      <c r="P263" s="27"/>
      <c r="Q263" s="27"/>
    </row>
    <row r="264" spans="1:17">
      <c r="A264" s="187"/>
      <c r="B264" s="187"/>
      <c r="C264" s="27"/>
      <c r="D264" s="27"/>
      <c r="E264" s="27"/>
      <c r="F264" s="27"/>
      <c r="G264" s="27"/>
      <c r="H264" s="27"/>
      <c r="I264" s="27"/>
      <c r="J264" s="27"/>
      <c r="K264" s="27"/>
      <c r="L264" s="27"/>
      <c r="M264" s="27"/>
      <c r="N264" s="27"/>
      <c r="O264" s="27"/>
      <c r="P264" s="27"/>
      <c r="Q264" s="27"/>
    </row>
    <row r="265" spans="1:17">
      <c r="A265" s="21" t="s">
        <v>93</v>
      </c>
      <c r="B265" s="21"/>
      <c r="C265" s="21"/>
      <c r="D265" s="21"/>
      <c r="E265" s="121"/>
      <c r="F265" s="21"/>
      <c r="G265" s="21"/>
      <c r="H265" s="29"/>
      <c r="I265" s="29"/>
      <c r="J265" s="29"/>
      <c r="K265" s="6"/>
      <c r="L265" s="27"/>
      <c r="M265" s="27"/>
      <c r="N265" s="27"/>
      <c r="O265" s="27"/>
      <c r="P265" s="27"/>
      <c r="Q265" s="27"/>
    </row>
    <row r="266" spans="1:17" ht="11.45" customHeight="1">
      <c r="A266" s="223" t="s">
        <v>10</v>
      </c>
      <c r="B266" s="223"/>
      <c r="C266" s="223"/>
      <c r="D266" s="223"/>
      <c r="E266" s="223"/>
      <c r="F266" s="223"/>
      <c r="G266" s="223"/>
      <c r="H266" s="27"/>
      <c r="I266" s="27"/>
      <c r="J266" s="27"/>
      <c r="K266" s="27"/>
      <c r="L266" s="27"/>
      <c r="M266" s="27"/>
      <c r="N266" s="27"/>
      <c r="O266" s="27"/>
      <c r="P266" s="27"/>
      <c r="Q266" s="27"/>
    </row>
    <row r="267" spans="1:17">
      <c r="A267" s="187"/>
      <c r="B267" s="187"/>
      <c r="C267" s="27"/>
      <c r="D267" s="27"/>
      <c r="E267" s="27"/>
      <c r="F267" s="27"/>
      <c r="G267" s="27"/>
      <c r="H267" s="27"/>
      <c r="I267" s="27"/>
      <c r="J267" s="27"/>
      <c r="K267" s="27"/>
      <c r="L267" s="27"/>
      <c r="M267" s="27"/>
      <c r="N267" s="27"/>
      <c r="O267" s="27"/>
      <c r="P267" s="27"/>
      <c r="Q267" s="27"/>
    </row>
    <row r="268" spans="1:17">
      <c r="A268" s="22" t="s">
        <v>11</v>
      </c>
      <c r="B268" s="22"/>
      <c r="C268" s="187"/>
      <c r="D268" s="27"/>
      <c r="E268" s="27"/>
      <c r="F268" s="27"/>
      <c r="G268" s="27"/>
      <c r="H268" s="27"/>
      <c r="I268" s="27"/>
      <c r="J268" s="27"/>
      <c r="K268" s="27"/>
      <c r="L268" s="27"/>
      <c r="M268" s="27"/>
      <c r="N268" s="27"/>
      <c r="O268" s="27"/>
      <c r="P268" s="27"/>
      <c r="Q268" s="27"/>
    </row>
    <row r="269" spans="1:17">
      <c r="A269" s="27"/>
      <c r="B269" s="27"/>
      <c r="C269" s="27"/>
      <c r="D269" s="27"/>
      <c r="E269" s="27"/>
      <c r="F269" s="27"/>
      <c r="G269" s="27"/>
      <c r="H269" s="27"/>
      <c r="I269" s="27"/>
      <c r="J269" s="27"/>
      <c r="K269" s="27"/>
      <c r="L269" s="27"/>
      <c r="M269" s="27"/>
      <c r="N269" s="27"/>
      <c r="O269" s="27"/>
      <c r="P269" s="27"/>
      <c r="Q269" s="27"/>
    </row>
    <row r="270" spans="1:17">
      <c r="A270" s="27"/>
      <c r="B270" s="27"/>
      <c r="C270" s="27"/>
      <c r="D270" s="27"/>
      <c r="E270" s="27"/>
      <c r="F270" s="27"/>
      <c r="G270" s="27"/>
      <c r="H270" s="27"/>
      <c r="I270" s="27"/>
      <c r="J270" s="27"/>
      <c r="K270" s="27"/>
      <c r="L270" s="27"/>
      <c r="M270" s="27"/>
      <c r="N270" s="27"/>
      <c r="O270" s="27"/>
      <c r="P270" s="27"/>
      <c r="Q270" s="27"/>
    </row>
    <row r="271" spans="1:17">
      <c r="A271" s="203" t="s">
        <v>13</v>
      </c>
      <c r="B271" s="203"/>
      <c r="C271" s="203"/>
      <c r="D271" s="203"/>
      <c r="E271" s="203"/>
      <c r="F271" s="203"/>
      <c r="G271" s="203"/>
      <c r="H271" s="203"/>
      <c r="I271" s="203"/>
      <c r="J271" s="203"/>
      <c r="K271" s="203"/>
      <c r="L271" s="203"/>
      <c r="M271" s="203"/>
      <c r="N271" s="203"/>
      <c r="O271" s="203"/>
      <c r="P271" s="203"/>
      <c r="Q271" s="27"/>
    </row>
  </sheetData>
  <mergeCells count="18">
    <mergeCell ref="A1:Q1"/>
    <mergeCell ref="A2:Q2"/>
    <mergeCell ref="A3:Q3"/>
    <mergeCell ref="A5:G5"/>
    <mergeCell ref="A6:G6"/>
    <mergeCell ref="B257:K257"/>
    <mergeCell ref="A261:G261"/>
    <mergeCell ref="A266:G266"/>
    <mergeCell ref="A271:P271"/>
    <mergeCell ref="A7:G7"/>
    <mergeCell ref="I261:M261"/>
    <mergeCell ref="L11:P11"/>
    <mergeCell ref="A11:A12"/>
    <mergeCell ref="B11:B12"/>
    <mergeCell ref="C11:C12"/>
    <mergeCell ref="D11:D12"/>
    <mergeCell ref="E11:E12"/>
    <mergeCell ref="F11:K11"/>
  </mergeCells>
  <phoneticPr fontId="5" type="noConversion"/>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5"/>
  <sheetViews>
    <sheetView showZeros="0" tabSelected="1" zoomScale="120" zoomScaleNormal="120" workbookViewId="0">
      <selection activeCell="M29" sqref="M29"/>
    </sheetView>
  </sheetViews>
  <sheetFormatPr defaultColWidth="8.85546875" defaultRowHeight="11.45"/>
  <cols>
    <col min="1" max="1" width="5.85546875" style="32" customWidth="1"/>
    <col min="2" max="2" width="5.85546875" style="58" customWidth="1"/>
    <col min="3" max="3" width="40.85546875" style="58" customWidth="1"/>
    <col min="4" max="5" width="8.85546875" style="58" customWidth="1"/>
    <col min="6" max="11" width="8.85546875" style="32" customWidth="1"/>
    <col min="12" max="16" width="11.85546875" style="32" customWidth="1"/>
    <col min="17" max="16384" width="8.85546875" style="32"/>
  </cols>
  <sheetData>
    <row r="1" spans="1:16">
      <c r="A1" s="210" t="s">
        <v>245</v>
      </c>
      <c r="B1" s="210"/>
      <c r="C1" s="210"/>
      <c r="D1" s="210"/>
      <c r="E1" s="210"/>
      <c r="F1" s="210"/>
      <c r="G1" s="210"/>
      <c r="H1" s="210"/>
      <c r="I1" s="210"/>
      <c r="J1" s="210"/>
      <c r="K1" s="210"/>
      <c r="L1" s="210"/>
      <c r="M1" s="210"/>
      <c r="N1" s="210"/>
      <c r="O1" s="210"/>
      <c r="P1" s="210"/>
    </row>
    <row r="2" spans="1:16">
      <c r="A2" s="210" t="s">
        <v>33</v>
      </c>
      <c r="B2" s="210"/>
      <c r="C2" s="210"/>
      <c r="D2" s="210"/>
      <c r="E2" s="210"/>
      <c r="F2" s="210"/>
      <c r="G2" s="210"/>
      <c r="H2" s="210"/>
      <c r="I2" s="210"/>
      <c r="J2" s="210"/>
      <c r="K2" s="210"/>
      <c r="L2" s="210"/>
      <c r="M2" s="210"/>
      <c r="N2" s="210"/>
      <c r="O2" s="210"/>
      <c r="P2" s="210"/>
    </row>
    <row r="3" spans="1:16">
      <c r="A3" s="203" t="s">
        <v>49</v>
      </c>
      <c r="B3" s="203"/>
      <c r="C3" s="203"/>
      <c r="D3" s="203"/>
      <c r="E3" s="203"/>
      <c r="F3" s="203"/>
      <c r="G3" s="203"/>
      <c r="H3" s="203"/>
      <c r="I3" s="203"/>
      <c r="J3" s="203"/>
      <c r="K3" s="203"/>
      <c r="L3" s="203"/>
      <c r="M3" s="203"/>
      <c r="N3" s="203"/>
      <c r="O3" s="203"/>
      <c r="P3" s="203"/>
    </row>
    <row r="4" spans="1:16">
      <c r="A4" s="55"/>
      <c r="B4" s="56"/>
      <c r="C4" s="56"/>
      <c r="D4" s="57"/>
      <c r="E4" s="57"/>
      <c r="F4" s="192"/>
      <c r="G4" s="192"/>
      <c r="H4" s="4"/>
      <c r="I4" s="192"/>
      <c r="J4" s="192"/>
      <c r="K4" s="192"/>
      <c r="L4" s="192"/>
      <c r="M4" s="192"/>
      <c r="N4" s="192"/>
      <c r="O4" s="192"/>
    </row>
    <row r="5" spans="1:16" ht="20.45" customHeight="1">
      <c r="A5" s="209" t="str">
        <f>Koptāme!$A$11</f>
        <v>Objekta nosaukums: Slaucamo govju kūts jaunbūve īpašumā
"Vecsašava"</v>
      </c>
      <c r="B5" s="209"/>
      <c r="C5" s="209"/>
      <c r="D5" s="209"/>
      <c r="E5" s="209"/>
      <c r="F5" s="209"/>
      <c r="G5" s="62"/>
      <c r="H5" s="62"/>
      <c r="I5" s="62"/>
      <c r="J5" s="62"/>
      <c r="K5" s="62"/>
      <c r="L5" s="62"/>
      <c r="M5" s="62"/>
      <c r="N5" s="62"/>
      <c r="O5" s="62"/>
    </row>
    <row r="6" spans="1:16" ht="20.45" customHeight="1">
      <c r="A6" s="209" t="str">
        <f>Koptāme!$A$12</f>
        <v>Objekta adrese: Īpašums "Vecsašava", Mālupes pagasts,
Alūksnes novads</v>
      </c>
      <c r="B6" s="209"/>
      <c r="C6" s="209"/>
      <c r="D6" s="209"/>
      <c r="E6" s="209"/>
      <c r="F6" s="209"/>
      <c r="G6" s="192"/>
      <c r="H6" s="4"/>
      <c r="I6" s="192"/>
      <c r="J6" s="192"/>
      <c r="K6" s="192"/>
      <c r="L6" s="192"/>
      <c r="M6" s="192"/>
      <c r="N6" s="192"/>
      <c r="O6" s="192"/>
    </row>
    <row r="7" spans="1:16" ht="14.25" customHeight="1">
      <c r="A7" s="209" t="str">
        <f>Koptāme!$A$13</f>
        <v>Pasūtītājs: Z/S "Jaunceriņi"</v>
      </c>
      <c r="B7" s="209"/>
      <c r="C7" s="209"/>
      <c r="D7" s="209"/>
      <c r="E7" s="209"/>
      <c r="F7" s="209"/>
      <c r="G7" s="192"/>
      <c r="H7" s="4"/>
      <c r="I7" s="192"/>
      <c r="J7" s="192"/>
      <c r="K7" s="192"/>
      <c r="L7" s="192"/>
      <c r="M7" s="192"/>
      <c r="N7" s="192"/>
      <c r="O7" s="192"/>
    </row>
    <row r="8" spans="1:16" ht="12">
      <c r="A8" s="57"/>
      <c r="B8" s="59"/>
      <c r="C8" s="57"/>
      <c r="D8" s="60"/>
      <c r="E8" s="60"/>
      <c r="F8" s="60"/>
      <c r="G8" s="60"/>
      <c r="H8" s="60"/>
      <c r="I8" s="60"/>
      <c r="J8" s="60"/>
      <c r="K8" s="60"/>
      <c r="L8" s="60"/>
      <c r="M8" s="60"/>
      <c r="N8" s="60"/>
      <c r="O8" s="63" t="s">
        <v>50</v>
      </c>
      <c r="P8" s="61">
        <f>P51</f>
        <v>0</v>
      </c>
    </row>
    <row r="9" spans="1:16" ht="12">
      <c r="A9" s="57"/>
      <c r="B9" s="59"/>
      <c r="C9" s="57"/>
      <c r="D9" s="60"/>
      <c r="E9" s="60"/>
      <c r="F9" s="60"/>
      <c r="G9" s="60"/>
      <c r="H9" s="60"/>
      <c r="I9" s="60"/>
      <c r="J9" s="60"/>
      <c r="K9" s="60"/>
      <c r="L9" s="60"/>
      <c r="M9" s="60"/>
      <c r="N9" s="107" t="str">
        <f>'1-1.DOP'!$N$9</f>
        <v>Tāme sastādīta: 2025.gada 20. oktobrī</v>
      </c>
      <c r="O9" s="69"/>
      <c r="P9" s="60"/>
    </row>
    <row r="10" spans="1:16">
      <c r="F10" s="58"/>
      <c r="G10" s="58"/>
    </row>
    <row r="11" spans="1:16" ht="12">
      <c r="A11" s="206" t="s">
        <v>51</v>
      </c>
      <c r="B11" s="207" t="s">
        <v>52</v>
      </c>
      <c r="C11" s="206" t="s">
        <v>53</v>
      </c>
      <c r="D11" s="206" t="s">
        <v>54</v>
      </c>
      <c r="E11" s="206" t="s">
        <v>55</v>
      </c>
      <c r="F11" s="204" t="s">
        <v>56</v>
      </c>
      <c r="G11" s="204"/>
      <c r="H11" s="204"/>
      <c r="I11" s="204"/>
      <c r="J11" s="204"/>
      <c r="K11" s="204"/>
      <c r="L11" s="204" t="s">
        <v>57</v>
      </c>
      <c r="M11" s="204"/>
      <c r="N11" s="204"/>
      <c r="O11" s="204"/>
      <c r="P11" s="204"/>
    </row>
    <row r="12" spans="1:16" ht="48">
      <c r="A12" s="206"/>
      <c r="B12" s="207"/>
      <c r="C12" s="206"/>
      <c r="D12" s="206"/>
      <c r="E12" s="206"/>
      <c r="F12" s="190" t="s">
        <v>58</v>
      </c>
      <c r="G12" s="190" t="s">
        <v>59</v>
      </c>
      <c r="H12" s="190" t="s">
        <v>60</v>
      </c>
      <c r="I12" s="190" t="s">
        <v>24</v>
      </c>
      <c r="J12" s="190" t="s">
        <v>61</v>
      </c>
      <c r="K12" s="190" t="s">
        <v>62</v>
      </c>
      <c r="L12" s="190" t="s">
        <v>63</v>
      </c>
      <c r="M12" s="190" t="s">
        <v>60</v>
      </c>
      <c r="N12" s="190" t="s">
        <v>24</v>
      </c>
      <c r="O12" s="190" t="s">
        <v>61</v>
      </c>
      <c r="P12" s="190" t="s">
        <v>64</v>
      </c>
    </row>
    <row r="13" spans="1:16" ht="12">
      <c r="A13" s="190">
        <v>1</v>
      </c>
      <c r="B13" s="190">
        <v>2</v>
      </c>
      <c r="C13" s="190">
        <v>3</v>
      </c>
      <c r="D13" s="190">
        <v>4</v>
      </c>
      <c r="E13" s="190">
        <v>5</v>
      </c>
      <c r="F13" s="190">
        <v>6</v>
      </c>
      <c r="G13" s="190">
        <v>7</v>
      </c>
      <c r="H13" s="190">
        <v>8</v>
      </c>
      <c r="I13" s="190">
        <v>9</v>
      </c>
      <c r="J13" s="190">
        <v>10</v>
      </c>
      <c r="K13" s="190">
        <v>11</v>
      </c>
      <c r="L13" s="190">
        <v>12</v>
      </c>
      <c r="M13" s="190">
        <v>13</v>
      </c>
      <c r="N13" s="190">
        <v>14</v>
      </c>
      <c r="O13" s="190">
        <v>15</v>
      </c>
      <c r="P13" s="190">
        <v>16</v>
      </c>
    </row>
    <row r="14" spans="1:16" ht="12">
      <c r="A14" s="39"/>
      <c r="B14" s="40"/>
      <c r="C14" s="41" t="s">
        <v>33</v>
      </c>
      <c r="D14" s="42"/>
      <c r="E14" s="131"/>
      <c r="F14" s="39"/>
      <c r="G14" s="39"/>
      <c r="H14" s="39"/>
      <c r="I14" s="39"/>
      <c r="J14" s="39"/>
      <c r="K14" s="39"/>
      <c r="L14" s="39"/>
      <c r="M14" s="39"/>
      <c r="N14" s="39"/>
      <c r="O14" s="39"/>
      <c r="P14" s="39"/>
    </row>
    <row r="15" spans="1:16">
      <c r="A15" s="113">
        <f>IF(D15="","",COUNTIF(B$13:$B15,"l.c"))</f>
        <v>1</v>
      </c>
      <c r="B15" s="113" t="str">
        <f t="shared" ref="B15:B35" si="0">IF(D15="","","l.c")</f>
        <v>l.c</v>
      </c>
      <c r="C15" s="37" t="s">
        <v>246</v>
      </c>
      <c r="D15" s="191" t="s">
        <v>76</v>
      </c>
      <c r="E15" s="44">
        <v>1</v>
      </c>
      <c r="F15" s="38"/>
      <c r="G15" s="38"/>
      <c r="H15" s="38"/>
      <c r="I15" s="38"/>
      <c r="J15" s="38"/>
      <c r="K15" s="38"/>
      <c r="L15" s="38"/>
      <c r="M15" s="38"/>
      <c r="N15" s="38"/>
      <c r="O15" s="38"/>
      <c r="P15" s="38"/>
    </row>
    <row r="16" spans="1:16">
      <c r="A16" s="113">
        <f>IF(D16="","",COUNTIF(B$13:$B16,"l.c"))</f>
        <v>2</v>
      </c>
      <c r="B16" s="113" t="str">
        <f t="shared" ref="B16" si="1">IF(D16="","","l.c")</f>
        <v>l.c</v>
      </c>
      <c r="C16" s="37" t="s">
        <v>247</v>
      </c>
      <c r="D16" s="191" t="s">
        <v>68</v>
      </c>
      <c r="E16" s="44">
        <f>166</f>
        <v>166</v>
      </c>
      <c r="F16" s="38"/>
      <c r="G16" s="38"/>
      <c r="H16" s="38"/>
      <c r="I16" s="38"/>
      <c r="J16" s="38"/>
      <c r="K16" s="38"/>
      <c r="L16" s="38"/>
      <c r="M16" s="38"/>
      <c r="N16" s="38"/>
      <c r="O16" s="38"/>
      <c r="P16" s="38"/>
    </row>
    <row r="17" spans="1:16">
      <c r="A17" s="113">
        <f>IF(D17="","",COUNTIF(B$13:$B17,"l.c"))</f>
        <v>3</v>
      </c>
      <c r="B17" s="113" t="str">
        <f t="shared" ref="B17" si="2">IF(D17="","","l.c")</f>
        <v>l.c</v>
      </c>
      <c r="C17" s="37" t="s">
        <v>248</v>
      </c>
      <c r="D17" s="191" t="s">
        <v>68</v>
      </c>
      <c r="E17" s="44">
        <f>18.4+16.6+10.8+14</f>
        <v>59.8</v>
      </c>
      <c r="F17" s="38"/>
      <c r="G17" s="38"/>
      <c r="H17" s="38"/>
      <c r="I17" s="38"/>
      <c r="J17" s="38"/>
      <c r="K17" s="38"/>
      <c r="L17" s="38"/>
      <c r="M17" s="38"/>
      <c r="N17" s="38"/>
      <c r="O17" s="38"/>
      <c r="P17" s="38"/>
    </row>
    <row r="18" spans="1:16">
      <c r="A18" s="113">
        <f>IF(D18="","",COUNTIF(B$13:$B18,"l.c"))</f>
        <v>4</v>
      </c>
      <c r="B18" s="113" t="str">
        <f t="shared" ref="B18" si="3">IF(D18="","","l.c")</f>
        <v>l.c</v>
      </c>
      <c r="C18" s="37" t="s">
        <v>249</v>
      </c>
      <c r="D18" s="191" t="s">
        <v>113</v>
      </c>
      <c r="E18" s="44">
        <v>3</v>
      </c>
      <c r="F18" s="38"/>
      <c r="G18" s="38"/>
      <c r="H18" s="38"/>
      <c r="I18" s="38"/>
      <c r="J18" s="38"/>
      <c r="K18" s="38"/>
      <c r="L18" s="38"/>
      <c r="M18" s="38"/>
      <c r="N18" s="38"/>
      <c r="O18" s="38"/>
      <c r="P18" s="38"/>
    </row>
    <row r="19" spans="1:16" ht="45.95">
      <c r="A19" s="113">
        <f>IF(D19="","",COUNTIF(B$13:$B19,"l.c"))</f>
        <v>5</v>
      </c>
      <c r="B19" s="113" t="str">
        <f t="shared" ref="B19" si="4">IF(D19="","","l.c")</f>
        <v>l.c</v>
      </c>
      <c r="C19" s="37" t="s">
        <v>250</v>
      </c>
      <c r="D19" s="191" t="s">
        <v>76</v>
      </c>
      <c r="E19" s="44">
        <v>1</v>
      </c>
      <c r="F19" s="38"/>
      <c r="G19" s="38"/>
      <c r="H19" s="38"/>
      <c r="I19" s="38"/>
      <c r="J19" s="38"/>
      <c r="K19" s="38"/>
      <c r="L19" s="38"/>
      <c r="M19" s="38"/>
      <c r="N19" s="38"/>
      <c r="O19" s="38"/>
      <c r="P19" s="38"/>
    </row>
    <row r="20" spans="1:16">
      <c r="A20" s="113"/>
      <c r="B20" s="113"/>
      <c r="C20" s="37"/>
      <c r="D20" s="191"/>
      <c r="E20" s="44"/>
      <c r="F20" s="38"/>
      <c r="G20" s="38"/>
      <c r="H20" s="38"/>
      <c r="I20" s="38"/>
      <c r="J20" s="38"/>
      <c r="K20" s="38"/>
      <c r="L20" s="38"/>
      <c r="M20" s="38"/>
      <c r="N20" s="38"/>
      <c r="O20" s="38"/>
      <c r="P20" s="38"/>
    </row>
    <row r="21" spans="1:16">
      <c r="A21" s="113" t="str">
        <f>IF(D21="","",COUNTIF(B$13:$B21,"l.c"))</f>
        <v/>
      </c>
      <c r="B21" s="113" t="str">
        <f t="shared" si="0"/>
        <v/>
      </c>
      <c r="C21" s="115" t="s">
        <v>251</v>
      </c>
      <c r="D21" s="132"/>
      <c r="E21" s="120"/>
      <c r="F21" s="38"/>
      <c r="G21" s="38"/>
      <c r="H21" s="38"/>
      <c r="I21" s="38"/>
      <c r="J21" s="38"/>
      <c r="K21" s="38"/>
      <c r="L21" s="38"/>
      <c r="M21" s="38"/>
      <c r="N21" s="38"/>
      <c r="O21" s="38"/>
      <c r="P21" s="38"/>
    </row>
    <row r="22" spans="1:16">
      <c r="A22" s="113"/>
      <c r="B22" s="113"/>
      <c r="C22" s="114" t="s">
        <v>252</v>
      </c>
      <c r="D22" s="43" t="s">
        <v>120</v>
      </c>
      <c r="E22" s="120">
        <f>1281.9</f>
        <v>1281.9000000000001</v>
      </c>
      <c r="F22" s="38"/>
      <c r="G22" s="38"/>
      <c r="H22" s="38"/>
      <c r="I22" s="38"/>
      <c r="J22" s="38"/>
      <c r="K22" s="38"/>
      <c r="L22" s="38"/>
      <c r="M22" s="38"/>
      <c r="N22" s="38"/>
      <c r="O22" s="38"/>
      <c r="P22" s="38"/>
    </row>
    <row r="23" spans="1:16">
      <c r="A23" s="113">
        <f>IF(D23="","",COUNTIF(B$13:$B23,"l.c"))</f>
        <v>6</v>
      </c>
      <c r="B23" s="113" t="str">
        <f t="shared" si="0"/>
        <v>l.c</v>
      </c>
      <c r="C23" s="37" t="s">
        <v>253</v>
      </c>
      <c r="D23" s="7" t="s">
        <v>120</v>
      </c>
      <c r="E23" s="44">
        <f>E22</f>
        <v>1281.9000000000001</v>
      </c>
      <c r="F23" s="38"/>
      <c r="G23" s="38"/>
      <c r="H23" s="38"/>
      <c r="I23" s="38"/>
      <c r="J23" s="38"/>
      <c r="K23" s="38"/>
      <c r="L23" s="38"/>
      <c r="M23" s="38"/>
      <c r="N23" s="38"/>
      <c r="O23" s="38"/>
      <c r="P23" s="38"/>
    </row>
    <row r="24" spans="1:16" ht="23.1">
      <c r="A24" s="113">
        <f>IF(D24="","",COUNTIF(B$13:$B24,"l.c"))</f>
        <v>7</v>
      </c>
      <c r="B24" s="113" t="str">
        <f t="shared" si="0"/>
        <v>l.c</v>
      </c>
      <c r="C24" s="37" t="s">
        <v>254</v>
      </c>
      <c r="D24" s="191" t="s">
        <v>98</v>
      </c>
      <c r="E24" s="44">
        <f>E22*0.3</f>
        <v>384.57</v>
      </c>
      <c r="F24" s="38"/>
      <c r="G24" s="38"/>
      <c r="H24" s="38"/>
      <c r="I24" s="38"/>
      <c r="J24" s="38"/>
      <c r="K24" s="38"/>
      <c r="L24" s="38"/>
      <c r="M24" s="38"/>
      <c r="N24" s="38"/>
      <c r="O24" s="38"/>
      <c r="P24" s="38"/>
    </row>
    <row r="25" spans="1:16" ht="23.1">
      <c r="A25" s="113">
        <f>IF(D25="","",COUNTIF(B$13:$B25,"l.c"))</f>
        <v>8</v>
      </c>
      <c r="B25" s="113" t="str">
        <f t="shared" si="0"/>
        <v>l.c</v>
      </c>
      <c r="C25" s="37" t="s">
        <v>255</v>
      </c>
      <c r="D25" s="191" t="s">
        <v>98</v>
      </c>
      <c r="E25" s="44">
        <f>E22*0.25</f>
        <v>320.48</v>
      </c>
      <c r="F25" s="38"/>
      <c r="G25" s="38"/>
      <c r="H25" s="38"/>
      <c r="I25" s="38"/>
      <c r="J25" s="38"/>
      <c r="K25" s="38"/>
      <c r="L25" s="38"/>
      <c r="M25" s="38"/>
      <c r="N25" s="38"/>
      <c r="O25" s="38"/>
      <c r="P25" s="38"/>
    </row>
    <row r="26" spans="1:16">
      <c r="A26" s="113"/>
      <c r="B26" s="113"/>
      <c r="C26" s="37"/>
      <c r="D26" s="191"/>
      <c r="E26" s="44"/>
      <c r="F26" s="38"/>
      <c r="G26" s="38"/>
      <c r="H26" s="38"/>
      <c r="I26" s="38"/>
      <c r="J26" s="38"/>
      <c r="K26" s="38"/>
      <c r="L26" s="38"/>
      <c r="M26" s="38"/>
      <c r="N26" s="38"/>
      <c r="O26" s="38"/>
      <c r="P26" s="38"/>
    </row>
    <row r="27" spans="1:16" ht="12">
      <c r="A27" s="113"/>
      <c r="B27" s="113"/>
      <c r="C27" s="114" t="s">
        <v>256</v>
      </c>
      <c r="D27" s="43" t="s">
        <v>120</v>
      </c>
      <c r="E27" s="120">
        <f>82.7</f>
        <v>82.7</v>
      </c>
      <c r="F27" s="38"/>
      <c r="G27" s="38"/>
      <c r="H27" s="38"/>
      <c r="I27" s="38"/>
      <c r="J27" s="38"/>
      <c r="K27" s="38"/>
      <c r="L27" s="38"/>
      <c r="M27" s="38"/>
      <c r="N27" s="38"/>
      <c r="O27" s="38"/>
      <c r="P27" s="38"/>
    </row>
    <row r="28" spans="1:16">
      <c r="A28" s="113">
        <f>IF(D28="","",COUNTIF(B$13:$B28,"l.c"))</f>
        <v>9</v>
      </c>
      <c r="B28" s="113" t="str">
        <f t="shared" ref="B28:B30" si="5">IF(D28="","","l.c")</f>
        <v>l.c</v>
      </c>
      <c r="C28" s="37" t="s">
        <v>253</v>
      </c>
      <c r="D28" s="7" t="s">
        <v>120</v>
      </c>
      <c r="E28" s="44">
        <f>E27</f>
        <v>82.7</v>
      </c>
      <c r="F28" s="38"/>
      <c r="G28" s="38"/>
      <c r="H28" s="38"/>
      <c r="I28" s="38"/>
      <c r="J28" s="38"/>
      <c r="K28" s="38"/>
      <c r="L28" s="38"/>
      <c r="M28" s="38"/>
      <c r="N28" s="38"/>
      <c r="O28" s="38"/>
      <c r="P28" s="38"/>
    </row>
    <row r="29" spans="1:16" ht="23.1">
      <c r="A29" s="113">
        <f>IF(D29="","",COUNTIF(B$13:$B29,"l.c"))</f>
        <v>10</v>
      </c>
      <c r="B29" s="113" t="str">
        <f t="shared" si="5"/>
        <v>l.c</v>
      </c>
      <c r="C29" s="37" t="s">
        <v>254</v>
      </c>
      <c r="D29" s="191" t="s">
        <v>98</v>
      </c>
      <c r="E29" s="44">
        <f>E27*0.3</f>
        <v>24.81</v>
      </c>
      <c r="F29" s="38"/>
      <c r="G29" s="38"/>
      <c r="H29" s="38"/>
      <c r="I29" s="38"/>
      <c r="J29" s="38"/>
      <c r="K29" s="38"/>
      <c r="L29" s="38"/>
      <c r="M29" s="38"/>
      <c r="N29" s="38"/>
      <c r="O29" s="38"/>
      <c r="P29" s="38"/>
    </row>
    <row r="30" spans="1:16" ht="23.1">
      <c r="A30" s="113">
        <f>IF(D30="","",COUNTIF(B$13:$B30,"l.c"))</f>
        <v>11</v>
      </c>
      <c r="B30" s="113" t="str">
        <f t="shared" si="5"/>
        <v>l.c</v>
      </c>
      <c r="C30" s="37" t="s">
        <v>255</v>
      </c>
      <c r="D30" s="191" t="s">
        <v>98</v>
      </c>
      <c r="E30" s="44">
        <f>E27*0.25</f>
        <v>20.68</v>
      </c>
      <c r="F30" s="38"/>
      <c r="G30" s="38"/>
      <c r="H30" s="38"/>
      <c r="I30" s="38"/>
      <c r="J30" s="38"/>
      <c r="K30" s="38"/>
      <c r="L30" s="38"/>
      <c r="M30" s="38"/>
      <c r="N30" s="38"/>
      <c r="O30" s="38"/>
      <c r="P30" s="38"/>
    </row>
    <row r="31" spans="1:16" ht="23.1">
      <c r="A31" s="113">
        <f>IF(D31="","",COUNTIF(B$13:$B31,"l.c"))</f>
        <v>12</v>
      </c>
      <c r="B31" s="113" t="str">
        <f t="shared" ref="B31" si="6">IF(D31="","","l.c")</f>
        <v>l.c</v>
      </c>
      <c r="C31" s="37" t="s">
        <v>257</v>
      </c>
      <c r="D31" s="191" t="s">
        <v>98</v>
      </c>
      <c r="E31" s="44">
        <f>E27*0.25</f>
        <v>20.68</v>
      </c>
      <c r="F31" s="38"/>
      <c r="G31" s="38"/>
      <c r="H31" s="38"/>
      <c r="I31" s="38"/>
      <c r="J31" s="38"/>
      <c r="K31" s="38"/>
      <c r="L31" s="38"/>
      <c r="M31" s="38"/>
      <c r="N31" s="38"/>
      <c r="O31" s="38"/>
      <c r="P31" s="38"/>
    </row>
    <row r="32" spans="1:16">
      <c r="A32" s="113" t="str">
        <f>IF(D32="","",COUNTIF(B$13:$B32,"l.c"))</f>
        <v/>
      </c>
      <c r="B32" s="113" t="str">
        <f t="shared" si="0"/>
        <v/>
      </c>
      <c r="C32" s="45"/>
      <c r="D32" s="40"/>
      <c r="E32" s="119"/>
      <c r="F32" s="38"/>
      <c r="G32" s="38"/>
      <c r="H32" s="38"/>
      <c r="I32" s="38"/>
      <c r="J32" s="38"/>
      <c r="K32" s="38"/>
      <c r="L32" s="38"/>
      <c r="M32" s="38"/>
      <c r="N32" s="38"/>
      <c r="O32" s="38"/>
      <c r="P32" s="38"/>
    </row>
    <row r="33" spans="1:16">
      <c r="A33" s="113"/>
      <c r="B33" s="113"/>
      <c r="C33" s="117" t="s">
        <v>258</v>
      </c>
      <c r="D33" s="43" t="s">
        <v>120</v>
      </c>
      <c r="E33" s="120">
        <f>1298</f>
        <v>1298</v>
      </c>
      <c r="F33" s="38"/>
      <c r="G33" s="38"/>
      <c r="H33" s="38"/>
      <c r="I33" s="38"/>
      <c r="J33" s="38"/>
      <c r="K33" s="38"/>
      <c r="L33" s="38"/>
      <c r="M33" s="38"/>
      <c r="N33" s="38"/>
      <c r="O33" s="38"/>
      <c r="P33" s="38"/>
    </row>
    <row r="34" spans="1:16">
      <c r="A34" s="113">
        <f>A31+1</f>
        <v>13</v>
      </c>
      <c r="B34" s="113" t="str">
        <f t="shared" si="0"/>
        <v>l.c</v>
      </c>
      <c r="C34" s="37" t="s">
        <v>253</v>
      </c>
      <c r="D34" s="7" t="s">
        <v>120</v>
      </c>
      <c r="E34" s="44">
        <f>E33</f>
        <v>1298</v>
      </c>
      <c r="F34" s="38"/>
      <c r="G34" s="38"/>
      <c r="H34" s="38"/>
      <c r="I34" s="38"/>
      <c r="J34" s="38"/>
      <c r="K34" s="38"/>
      <c r="L34" s="38"/>
      <c r="M34" s="38"/>
      <c r="N34" s="38"/>
      <c r="O34" s="38"/>
      <c r="P34" s="38"/>
    </row>
    <row r="35" spans="1:16" ht="23.1">
      <c r="A35" s="113">
        <f>A34+1</f>
        <v>14</v>
      </c>
      <c r="B35" s="113" t="str">
        <f t="shared" si="0"/>
        <v>l.c</v>
      </c>
      <c r="C35" s="37" t="s">
        <v>259</v>
      </c>
      <c r="D35" s="7" t="str">
        <f>D34</f>
        <v>m2</v>
      </c>
      <c r="E35" s="44">
        <f>E33</f>
        <v>1298</v>
      </c>
      <c r="F35" s="38"/>
      <c r="G35" s="38"/>
      <c r="H35" s="38"/>
      <c r="I35" s="38"/>
      <c r="J35" s="38"/>
      <c r="K35" s="38"/>
      <c r="L35" s="38"/>
      <c r="M35" s="38"/>
      <c r="N35" s="38"/>
      <c r="O35" s="38"/>
      <c r="P35" s="38"/>
    </row>
    <row r="36" spans="1:16">
      <c r="A36" s="113" t="str">
        <f>IF(D36="","",COUNTIF(B$13:$B36,"l.c"))</f>
        <v/>
      </c>
      <c r="B36" s="113"/>
      <c r="C36" s="37"/>
      <c r="D36" s="7"/>
      <c r="E36" s="44"/>
      <c r="F36" s="38"/>
      <c r="G36" s="38"/>
      <c r="H36" s="38"/>
      <c r="I36" s="38"/>
      <c r="J36" s="38"/>
      <c r="K36" s="38"/>
      <c r="L36" s="38"/>
      <c r="M36" s="38"/>
      <c r="N36" s="38"/>
      <c r="O36" s="38"/>
      <c r="P36" s="38"/>
    </row>
    <row r="37" spans="1:16">
      <c r="A37" s="113"/>
      <c r="B37" s="113"/>
      <c r="C37" s="117" t="s">
        <v>260</v>
      </c>
      <c r="D37" s="43" t="s">
        <v>68</v>
      </c>
      <c r="E37" s="120">
        <f>118</f>
        <v>118</v>
      </c>
      <c r="F37" s="38"/>
      <c r="G37" s="38"/>
      <c r="H37" s="38"/>
      <c r="I37" s="38"/>
      <c r="J37" s="38"/>
      <c r="K37" s="38"/>
      <c r="L37" s="38"/>
      <c r="M37" s="38"/>
      <c r="N37" s="38"/>
      <c r="O37" s="38"/>
      <c r="P37" s="38"/>
    </row>
    <row r="38" spans="1:16" ht="23.1">
      <c r="A38" s="113">
        <f>A35+1</f>
        <v>15</v>
      </c>
      <c r="B38" s="113" t="str">
        <f t="shared" ref="B38:B39" si="7">IF(D38="","","l.c")</f>
        <v>l.c</v>
      </c>
      <c r="C38" s="37" t="s">
        <v>261</v>
      </c>
      <c r="D38" s="7" t="s">
        <v>68</v>
      </c>
      <c r="E38" s="44">
        <f>E37</f>
        <v>118</v>
      </c>
      <c r="F38" s="38"/>
      <c r="G38" s="38"/>
      <c r="H38" s="38"/>
      <c r="I38" s="38"/>
      <c r="J38" s="38"/>
      <c r="K38" s="38"/>
      <c r="L38" s="38"/>
      <c r="M38" s="38"/>
      <c r="N38" s="38"/>
      <c r="O38" s="38"/>
      <c r="P38" s="38"/>
    </row>
    <row r="39" spans="1:16">
      <c r="A39" s="113">
        <f>IF(D39="","",COUNTIF(B$13:$B39,"l.c"))</f>
        <v>16</v>
      </c>
      <c r="B39" s="113" t="str">
        <f t="shared" si="7"/>
        <v>l.c</v>
      </c>
      <c r="C39" s="37" t="s">
        <v>262</v>
      </c>
      <c r="D39" s="7" t="s">
        <v>113</v>
      </c>
      <c r="E39" s="44">
        <v>1</v>
      </c>
      <c r="F39" s="38"/>
      <c r="G39" s="38"/>
      <c r="H39" s="38"/>
      <c r="I39" s="38"/>
      <c r="J39" s="38"/>
      <c r="K39" s="38"/>
      <c r="L39" s="38"/>
      <c r="M39" s="38"/>
      <c r="N39" s="38"/>
      <c r="O39" s="38"/>
      <c r="P39" s="38"/>
    </row>
    <row r="40" spans="1:16" ht="12" customHeight="1">
      <c r="A40" s="113"/>
      <c r="B40" s="113"/>
      <c r="C40" s="37"/>
      <c r="D40" s="7"/>
      <c r="E40" s="44"/>
      <c r="F40" s="38"/>
      <c r="G40" s="38"/>
      <c r="H40" s="38"/>
      <c r="I40" s="38"/>
      <c r="J40" s="38"/>
      <c r="K40" s="38"/>
      <c r="L40" s="38"/>
      <c r="M40" s="38"/>
      <c r="N40" s="38"/>
      <c r="O40" s="38"/>
      <c r="P40" s="38"/>
    </row>
    <row r="41" spans="1:16">
      <c r="A41" s="113"/>
      <c r="B41" s="113"/>
      <c r="C41" s="117" t="s">
        <v>263</v>
      </c>
      <c r="D41" s="43"/>
      <c r="E41" s="120"/>
      <c r="F41" s="38"/>
      <c r="G41" s="38"/>
      <c r="H41" s="38"/>
      <c r="I41" s="38"/>
      <c r="J41" s="38"/>
      <c r="K41" s="38"/>
      <c r="L41" s="38"/>
      <c r="M41" s="38"/>
      <c r="N41" s="38"/>
      <c r="O41" s="38"/>
      <c r="P41" s="38"/>
    </row>
    <row r="42" spans="1:16" ht="23.1">
      <c r="A42" s="113">
        <f>IF(D42="","",COUNTIF(B$13:$B42,"l.c"))</f>
        <v>17</v>
      </c>
      <c r="B42" s="113" t="str">
        <f t="shared" ref="B42" si="8">IF(D42="","","l.c")</f>
        <v>l.c</v>
      </c>
      <c r="C42" s="37" t="s">
        <v>104</v>
      </c>
      <c r="D42" s="7" t="s">
        <v>98</v>
      </c>
      <c r="E42" s="44">
        <f>31*37*0.4</f>
        <v>458.8</v>
      </c>
      <c r="F42" s="38"/>
      <c r="G42" s="38"/>
      <c r="H42" s="38"/>
      <c r="I42" s="38"/>
      <c r="J42" s="38"/>
      <c r="K42" s="38"/>
      <c r="L42" s="38"/>
      <c r="M42" s="38"/>
      <c r="N42" s="38"/>
      <c r="O42" s="38"/>
      <c r="P42" s="38"/>
    </row>
    <row r="43" spans="1:16" ht="23.1">
      <c r="A43" s="113">
        <f>IF(D43="","",COUNTIF(B$13:$B43,"l.c"))</f>
        <v>18</v>
      </c>
      <c r="B43" s="113" t="str">
        <f t="shared" ref="B43" si="9">IF(D43="","","l.c")</f>
        <v>l.c</v>
      </c>
      <c r="C43" s="37" t="s">
        <v>264</v>
      </c>
      <c r="D43" s="7" t="s">
        <v>98</v>
      </c>
      <c r="E43" s="135">
        <f>0.8667*1135.2*1.3</f>
        <v>1279.04</v>
      </c>
      <c r="F43" s="38"/>
      <c r="G43" s="38"/>
      <c r="H43" s="38"/>
      <c r="I43" s="38"/>
      <c r="J43" s="38"/>
      <c r="K43" s="38"/>
      <c r="L43" s="38"/>
      <c r="M43" s="38"/>
      <c r="N43" s="38"/>
      <c r="O43" s="38"/>
      <c r="P43" s="38"/>
    </row>
    <row r="44" spans="1:16" ht="34.5">
      <c r="A44" s="113">
        <f>IF(D44="","",COUNTIF(B$13:$B44,"l.c"))</f>
        <v>19</v>
      </c>
      <c r="B44" s="113" t="str">
        <f t="shared" ref="B44" si="10">IF(D44="","","l.c")</f>
        <v>l.c</v>
      </c>
      <c r="C44" s="37" t="s">
        <v>265</v>
      </c>
      <c r="D44" s="7" t="s">
        <v>98</v>
      </c>
      <c r="E44" s="44">
        <f>1.4/3*(540.8+755+639.3)+421</f>
        <v>1324.05</v>
      </c>
      <c r="F44" s="38"/>
      <c r="G44" s="38"/>
      <c r="H44" s="38"/>
      <c r="I44" s="38"/>
      <c r="J44" s="38"/>
      <c r="K44" s="38"/>
      <c r="L44" s="38"/>
      <c r="M44" s="38"/>
      <c r="N44" s="38"/>
      <c r="O44" s="38"/>
      <c r="P44" s="38"/>
    </row>
    <row r="45" spans="1:16" ht="11.45" customHeight="1">
      <c r="A45" s="113">
        <f>IF(D45="","",COUNTIF(B$13:$B45,"l.c"))</f>
        <v>20</v>
      </c>
      <c r="B45" s="113" t="str">
        <f t="shared" ref="B45" si="11">IF(D45="","","l.c")</f>
        <v>l.c</v>
      </c>
      <c r="C45" s="116" t="s">
        <v>134</v>
      </c>
      <c r="D45" s="7" t="s">
        <v>120</v>
      </c>
      <c r="E45" s="44">
        <f>13*18.2</f>
        <v>236.6</v>
      </c>
      <c r="F45" s="38"/>
      <c r="G45" s="38"/>
      <c r="H45" s="38"/>
      <c r="I45" s="38"/>
      <c r="J45" s="38"/>
      <c r="K45" s="38"/>
      <c r="L45" s="38"/>
      <c r="M45" s="38"/>
      <c r="N45" s="38"/>
      <c r="O45" s="38"/>
      <c r="P45" s="38"/>
    </row>
    <row r="46" spans="1:16" ht="11.45" customHeight="1">
      <c r="A46" s="113">
        <f>IF(D46="","",COUNTIF(B$13:$B46,"l.c"))</f>
        <v>21</v>
      </c>
      <c r="B46" s="113" t="str">
        <f t="shared" ref="B46:B47" si="12">IF(D46="","","l.c")</f>
        <v>l.c</v>
      </c>
      <c r="C46" s="45" t="s">
        <v>266</v>
      </c>
      <c r="D46" s="40" t="s">
        <v>98</v>
      </c>
      <c r="E46" s="44">
        <f>E45*0.2</f>
        <v>47.32</v>
      </c>
      <c r="F46" s="38"/>
      <c r="G46" s="38"/>
      <c r="H46" s="38"/>
      <c r="I46" s="38"/>
      <c r="J46" s="38"/>
      <c r="K46" s="38"/>
      <c r="L46" s="38"/>
      <c r="M46" s="38"/>
      <c r="N46" s="38"/>
      <c r="O46" s="38"/>
      <c r="P46" s="38"/>
    </row>
    <row r="47" spans="1:16" ht="23.1">
      <c r="A47" s="113">
        <f>IF(D47="","",COUNTIF(B$13:$B47,"l.c"))</f>
        <v>22</v>
      </c>
      <c r="B47" s="113" t="str">
        <f t="shared" si="12"/>
        <v>l.c</v>
      </c>
      <c r="C47" s="116" t="s">
        <v>267</v>
      </c>
      <c r="D47" s="7" t="s">
        <v>120</v>
      </c>
      <c r="E47" s="44">
        <f>(13*18.2+0.5*(62.4+110.4)*7.211+301)*1.1</f>
        <v>1276.69</v>
      </c>
      <c r="F47" s="38"/>
      <c r="G47" s="38"/>
      <c r="H47" s="38"/>
      <c r="I47" s="38"/>
      <c r="J47" s="38"/>
      <c r="K47" s="38"/>
      <c r="L47" s="38"/>
      <c r="M47" s="38"/>
      <c r="N47" s="38"/>
      <c r="O47" s="38"/>
      <c r="P47" s="38"/>
    </row>
    <row r="48" spans="1:16">
      <c r="A48" s="113">
        <f>IF(D48="","",COUNTIF(B$13:$B48,"l.c"))</f>
        <v>23</v>
      </c>
      <c r="B48" s="113" t="str">
        <f t="shared" ref="B48" si="13">IF(D48="","","l.c")</f>
        <v>l.c</v>
      </c>
      <c r="C48" s="116" t="s">
        <v>268</v>
      </c>
      <c r="D48" s="7" t="s">
        <v>106</v>
      </c>
      <c r="E48" s="44">
        <f>66</f>
        <v>66</v>
      </c>
      <c r="F48" s="38"/>
      <c r="G48" s="38"/>
      <c r="H48" s="38"/>
      <c r="I48" s="38"/>
      <c r="J48" s="38"/>
      <c r="K48" s="38"/>
      <c r="L48" s="38"/>
      <c r="M48" s="38"/>
      <c r="N48" s="38"/>
      <c r="O48" s="38"/>
      <c r="P48" s="38"/>
    </row>
    <row r="49" spans="1:16">
      <c r="A49" s="113">
        <f>IF(D49="","",COUNTIF(B$13:$B49,"l.c"))</f>
        <v>24</v>
      </c>
      <c r="B49" s="113" t="str">
        <f t="shared" ref="B49" si="14">IF(D49="","","l.c")</f>
        <v>l.c</v>
      </c>
      <c r="C49" s="116" t="s">
        <v>269</v>
      </c>
      <c r="D49" s="7" t="s">
        <v>113</v>
      </c>
      <c r="E49" s="44">
        <v>1</v>
      </c>
      <c r="F49" s="38"/>
      <c r="G49" s="38"/>
      <c r="H49" s="38"/>
      <c r="I49" s="38"/>
      <c r="J49" s="38"/>
      <c r="K49" s="38"/>
      <c r="L49" s="38"/>
      <c r="M49" s="38"/>
      <c r="N49" s="38"/>
      <c r="O49" s="38"/>
      <c r="P49" s="38"/>
    </row>
    <row r="50" spans="1:16" ht="12" customHeight="1">
      <c r="A50" s="113"/>
      <c r="B50" s="113"/>
      <c r="C50" s="37"/>
      <c r="D50" s="7"/>
      <c r="E50" s="44"/>
      <c r="F50" s="38"/>
      <c r="G50" s="38"/>
      <c r="H50" s="38"/>
      <c r="I50" s="38"/>
      <c r="J50" s="38"/>
      <c r="K50" s="38"/>
      <c r="L50" s="38"/>
      <c r="M50" s="38"/>
      <c r="N50" s="38"/>
      <c r="O50" s="38"/>
      <c r="P50" s="38"/>
    </row>
    <row r="51" spans="1:16" ht="14.45" customHeight="1">
      <c r="A51" s="46"/>
      <c r="B51" s="205" t="s">
        <v>92</v>
      </c>
      <c r="C51" s="205"/>
      <c r="D51" s="205"/>
      <c r="E51" s="205"/>
      <c r="F51" s="205"/>
      <c r="G51" s="205"/>
      <c r="H51" s="205"/>
      <c r="I51" s="205"/>
      <c r="J51" s="205"/>
      <c r="K51" s="205"/>
      <c r="L51" s="65">
        <f>SUM(L14:L35)</f>
        <v>0</v>
      </c>
      <c r="M51" s="65">
        <f>SUM(M14:M35)</f>
        <v>0</v>
      </c>
      <c r="N51" s="65">
        <f>SUM(N14:N35)</f>
        <v>0</v>
      </c>
      <c r="O51" s="65">
        <f>SUM(O14:O35)</f>
        <v>0</v>
      </c>
      <c r="P51" s="65">
        <f>SUM(P14:P35)</f>
        <v>0</v>
      </c>
    </row>
    <row r="52" spans="1:16">
      <c r="A52" s="27"/>
      <c r="B52" s="27"/>
      <c r="C52" s="28"/>
      <c r="D52" s="27"/>
      <c r="E52" s="27"/>
      <c r="F52" s="27"/>
      <c r="G52" s="27"/>
      <c r="H52" s="27"/>
      <c r="I52" s="27"/>
      <c r="J52" s="27"/>
      <c r="K52" s="27"/>
      <c r="L52" s="27"/>
      <c r="M52" s="27"/>
      <c r="N52" s="27"/>
      <c r="O52" s="27"/>
      <c r="P52" s="27"/>
    </row>
    <row r="53" spans="1:16">
      <c r="A53" s="27"/>
      <c r="B53" s="27"/>
      <c r="C53" s="28"/>
      <c r="D53" s="27"/>
      <c r="E53" s="27"/>
      <c r="F53" s="27"/>
      <c r="G53" s="27"/>
      <c r="H53" s="27"/>
      <c r="I53" s="27"/>
      <c r="J53" s="27"/>
      <c r="K53" s="27"/>
      <c r="L53" s="27"/>
      <c r="M53" s="27"/>
      <c r="N53" s="27"/>
      <c r="O53" s="27"/>
      <c r="P53" s="27"/>
    </row>
    <row r="54" spans="1:16">
      <c r="A54" s="21" t="s">
        <v>9</v>
      </c>
      <c r="B54" s="21"/>
      <c r="C54" s="21"/>
      <c r="D54" s="21"/>
      <c r="E54" s="21"/>
      <c r="F54" s="21"/>
      <c r="G54" s="22"/>
      <c r="H54" s="22"/>
      <c r="I54" s="22"/>
      <c r="J54" s="22"/>
      <c r="K54" s="22"/>
      <c r="L54" s="22"/>
      <c r="M54" s="22"/>
      <c r="N54" s="22"/>
      <c r="O54" s="29"/>
      <c r="P54" s="6"/>
    </row>
    <row r="55" spans="1:16" ht="11.45" customHeight="1">
      <c r="A55" s="208" t="s">
        <v>10</v>
      </c>
      <c r="B55" s="208"/>
      <c r="C55" s="208"/>
      <c r="D55" s="208"/>
      <c r="E55" s="208"/>
      <c r="F55" s="208"/>
      <c r="G55" s="22"/>
      <c r="H55" s="122"/>
      <c r="I55" s="122"/>
      <c r="J55" s="122"/>
      <c r="K55" s="122"/>
      <c r="L55" s="122"/>
      <c r="M55" s="27"/>
      <c r="N55" s="27"/>
      <c r="O55" s="27"/>
      <c r="P55" s="27"/>
    </row>
    <row r="56" spans="1:16">
      <c r="A56" s="22"/>
      <c r="B56" s="189"/>
      <c r="C56" s="189"/>
      <c r="D56" s="189"/>
      <c r="E56" s="189"/>
      <c r="F56" s="189"/>
      <c r="G56" s="22"/>
      <c r="H56" s="189"/>
      <c r="I56" s="189"/>
      <c r="J56" s="189"/>
      <c r="K56" s="189"/>
      <c r="L56" s="189"/>
      <c r="M56" s="27"/>
      <c r="N56" s="27"/>
      <c r="O56" s="27"/>
      <c r="P56" s="27"/>
    </row>
    <row r="57" spans="1:16">
      <c r="A57" s="1" t="str">
        <f>'1-1.DOP'!$A$42</f>
        <v>Tāme sastādīta: 2025.gada 20. oktobrī</v>
      </c>
      <c r="B57" s="1"/>
      <c r="C57" s="27"/>
      <c r="D57" s="27"/>
      <c r="E57" s="27"/>
      <c r="F57" s="27"/>
      <c r="G57" s="27"/>
      <c r="H57" s="27"/>
      <c r="I57" s="27"/>
      <c r="J57" s="27"/>
      <c r="K57" s="27"/>
      <c r="L57" s="27"/>
      <c r="M57" s="27"/>
      <c r="N57" s="27"/>
      <c r="O57" s="27"/>
      <c r="P57" s="27"/>
    </row>
    <row r="58" spans="1:16">
      <c r="A58" s="187"/>
      <c r="B58" s="187"/>
      <c r="C58" s="27"/>
      <c r="D58" s="27"/>
      <c r="E58" s="27"/>
      <c r="F58" s="27"/>
      <c r="G58" s="27"/>
      <c r="H58" s="27"/>
      <c r="I58" s="27"/>
      <c r="J58" s="27"/>
      <c r="K58" s="27"/>
      <c r="L58" s="27"/>
      <c r="M58" s="27"/>
      <c r="N58" s="27"/>
      <c r="O58" s="27"/>
      <c r="P58" s="27"/>
    </row>
    <row r="59" spans="1:16">
      <c r="A59" s="21" t="s">
        <v>93</v>
      </c>
      <c r="B59" s="21"/>
      <c r="C59" s="21"/>
      <c r="D59" s="21"/>
      <c r="E59" s="21"/>
      <c r="F59" s="21"/>
      <c r="G59" s="29"/>
      <c r="H59" s="29"/>
      <c r="I59" s="29"/>
      <c r="J59" s="6"/>
      <c r="K59" s="27"/>
      <c r="L59" s="27"/>
      <c r="M59" s="27"/>
      <c r="N59" s="27"/>
      <c r="O59" s="27"/>
      <c r="P59" s="27"/>
    </row>
    <row r="60" spans="1:16" ht="11.45" customHeight="1">
      <c r="A60" s="208" t="s">
        <v>10</v>
      </c>
      <c r="B60" s="208"/>
      <c r="C60" s="208"/>
      <c r="D60" s="208"/>
      <c r="E60" s="208"/>
      <c r="F60" s="208"/>
      <c r="G60" s="27"/>
      <c r="H60" s="27"/>
      <c r="I60" s="27"/>
      <c r="J60" s="27"/>
      <c r="K60" s="27"/>
      <c r="L60" s="27"/>
      <c r="M60" s="27"/>
      <c r="N60" s="27"/>
      <c r="O60" s="27"/>
      <c r="P60" s="27"/>
    </row>
    <row r="61" spans="1:16">
      <c r="A61" s="187"/>
      <c r="B61" s="187"/>
      <c r="C61" s="27"/>
      <c r="D61" s="27"/>
      <c r="E61" s="27"/>
      <c r="F61" s="27"/>
      <c r="G61" s="27"/>
      <c r="H61" s="27"/>
      <c r="I61" s="27"/>
      <c r="J61" s="27"/>
      <c r="K61" s="27"/>
      <c r="L61" s="27"/>
      <c r="M61" s="27"/>
      <c r="N61" s="27"/>
      <c r="O61" s="27"/>
      <c r="P61" s="27"/>
    </row>
    <row r="62" spans="1:16">
      <c r="A62" s="22" t="s">
        <v>11</v>
      </c>
      <c r="B62" s="22"/>
      <c r="C62" s="187"/>
      <c r="D62" s="27"/>
      <c r="E62" s="27"/>
      <c r="F62" s="27"/>
      <c r="G62" s="27"/>
      <c r="H62" s="27"/>
      <c r="I62" s="27"/>
      <c r="J62" s="27"/>
      <c r="K62" s="27"/>
      <c r="L62" s="27"/>
      <c r="M62" s="27"/>
      <c r="N62" s="27"/>
      <c r="O62" s="27"/>
      <c r="P62" s="27"/>
    </row>
    <row r="63" spans="1:16">
      <c r="A63" s="27"/>
      <c r="B63" s="27"/>
      <c r="C63" s="27"/>
      <c r="D63" s="27"/>
      <c r="E63" s="27"/>
      <c r="F63" s="27"/>
      <c r="G63" s="27"/>
      <c r="H63" s="27"/>
      <c r="I63" s="27"/>
      <c r="J63" s="27"/>
      <c r="K63" s="27"/>
      <c r="L63" s="27"/>
      <c r="M63" s="27"/>
      <c r="N63" s="27"/>
      <c r="O63" s="27"/>
      <c r="P63" s="27"/>
    </row>
    <row r="64" spans="1:16">
      <c r="A64" s="27"/>
      <c r="B64" s="27"/>
      <c r="C64" s="27"/>
      <c r="D64" s="27"/>
      <c r="E64" s="27"/>
      <c r="F64" s="27"/>
      <c r="G64" s="27"/>
      <c r="H64" s="27"/>
      <c r="I64" s="27"/>
      <c r="J64" s="27"/>
      <c r="K64" s="27"/>
      <c r="L64" s="27"/>
      <c r="M64" s="27"/>
      <c r="N64" s="27"/>
      <c r="O64" s="27"/>
      <c r="P64" s="27"/>
    </row>
    <row r="65" spans="1:16">
      <c r="A65" s="203" t="s">
        <v>13</v>
      </c>
      <c r="B65" s="203"/>
      <c r="C65" s="203"/>
      <c r="D65" s="203"/>
      <c r="E65" s="203"/>
      <c r="F65" s="203"/>
      <c r="G65" s="203"/>
      <c r="H65" s="203"/>
      <c r="I65" s="203"/>
      <c r="J65" s="203"/>
      <c r="K65" s="203"/>
      <c r="L65" s="203"/>
      <c r="M65" s="203"/>
      <c r="N65" s="203"/>
      <c r="O65" s="203"/>
      <c r="P65" s="203"/>
    </row>
  </sheetData>
  <mergeCells count="17">
    <mergeCell ref="A7:F7"/>
    <mergeCell ref="A1:P1"/>
    <mergeCell ref="A2:P2"/>
    <mergeCell ref="A3:P3"/>
    <mergeCell ref="A5:F5"/>
    <mergeCell ref="A6:F6"/>
    <mergeCell ref="A65:P65"/>
    <mergeCell ref="L11:P11"/>
    <mergeCell ref="B51:K51"/>
    <mergeCell ref="A11:A12"/>
    <mergeCell ref="B11:B12"/>
    <mergeCell ref="C11:C12"/>
    <mergeCell ref="D11:D12"/>
    <mergeCell ref="E11:E12"/>
    <mergeCell ref="F11:K11"/>
    <mergeCell ref="A55:F55"/>
    <mergeCell ref="A60:F60"/>
  </mergeCells>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AAAE-86A8-499D-8AA0-57B5DAEF60CA}">
  <dimension ref="A1:P82"/>
  <sheetViews>
    <sheetView showZeros="0" topLeftCell="A5" zoomScaleNormal="100" workbookViewId="0">
      <selection activeCell="E18" sqref="E18"/>
    </sheetView>
  </sheetViews>
  <sheetFormatPr defaultColWidth="8.85546875" defaultRowHeight="11.45"/>
  <cols>
    <col min="1" max="1" width="5.85546875" style="74" customWidth="1"/>
    <col min="2" max="2" width="5.85546875" style="85" customWidth="1"/>
    <col min="3" max="3" width="40.85546875" style="85" customWidth="1"/>
    <col min="4" max="5" width="8.85546875" style="85" customWidth="1"/>
    <col min="6" max="11" width="8.85546875" style="74" customWidth="1"/>
    <col min="12" max="16" width="11.85546875" style="74" customWidth="1"/>
    <col min="17" max="16384" width="8.85546875" style="74"/>
  </cols>
  <sheetData>
    <row r="1" spans="1:16">
      <c r="A1" s="233" t="s">
        <v>270</v>
      </c>
      <c r="B1" s="233"/>
      <c r="C1" s="233"/>
      <c r="D1" s="233"/>
      <c r="E1" s="233"/>
      <c r="F1" s="233"/>
      <c r="G1" s="233"/>
      <c r="H1" s="233"/>
      <c r="I1" s="233"/>
      <c r="J1" s="233"/>
      <c r="K1" s="233"/>
      <c r="L1" s="233"/>
      <c r="M1" s="233"/>
      <c r="N1" s="233"/>
      <c r="O1" s="233"/>
      <c r="P1" s="233"/>
    </row>
    <row r="2" spans="1:16">
      <c r="A2" s="233" t="s">
        <v>35</v>
      </c>
      <c r="B2" s="233"/>
      <c r="C2" s="233"/>
      <c r="D2" s="233"/>
      <c r="E2" s="233"/>
      <c r="F2" s="233"/>
      <c r="G2" s="233"/>
      <c r="H2" s="233"/>
      <c r="I2" s="233"/>
      <c r="J2" s="233"/>
      <c r="K2" s="233"/>
      <c r="L2" s="233"/>
      <c r="M2" s="233"/>
      <c r="N2" s="233"/>
      <c r="O2" s="233"/>
      <c r="P2" s="233"/>
    </row>
    <row r="3" spans="1:16">
      <c r="A3" s="225" t="s">
        <v>49</v>
      </c>
      <c r="B3" s="225"/>
      <c r="C3" s="225"/>
      <c r="D3" s="225"/>
      <c r="E3" s="225"/>
      <c r="F3" s="225"/>
      <c r="G3" s="225"/>
      <c r="H3" s="225"/>
      <c r="I3" s="225"/>
      <c r="J3" s="225"/>
      <c r="K3" s="225"/>
      <c r="L3" s="225"/>
      <c r="M3" s="225"/>
      <c r="N3" s="225"/>
      <c r="O3" s="225"/>
      <c r="P3" s="225"/>
    </row>
    <row r="4" spans="1:16">
      <c r="A4" s="75"/>
      <c r="B4" s="76"/>
      <c r="C4" s="76"/>
      <c r="D4" s="77"/>
      <c r="E4" s="77"/>
      <c r="F4" s="70"/>
      <c r="G4" s="70"/>
      <c r="H4" s="78"/>
      <c r="I4" s="70"/>
      <c r="J4" s="70"/>
      <c r="K4" s="70"/>
      <c r="L4" s="70"/>
      <c r="M4" s="70"/>
      <c r="N4" s="70"/>
      <c r="O4" s="70"/>
    </row>
    <row r="5" spans="1:16" ht="24" customHeight="1">
      <c r="A5" s="232" t="str">
        <f>Koptāme!$A$11</f>
        <v>Objekta nosaukums: Slaucamo govju kūts jaunbūve īpašumā
"Vecsašava"</v>
      </c>
      <c r="B5" s="232"/>
      <c r="C5" s="232"/>
      <c r="D5" s="232"/>
      <c r="E5" s="232"/>
      <c r="F5" s="79"/>
      <c r="G5" s="79"/>
      <c r="H5" s="79"/>
      <c r="I5" s="79"/>
      <c r="J5" s="79"/>
      <c r="K5" s="79"/>
      <c r="L5" s="79"/>
      <c r="M5" s="79"/>
      <c r="N5" s="79"/>
      <c r="O5" s="79"/>
    </row>
    <row r="6" spans="1:16" ht="24" customHeight="1">
      <c r="A6" s="232" t="str">
        <f>Koptāme!$A$12</f>
        <v>Objekta adrese: Īpašums "Vecsašava", Mālupes pagasts,
Alūksnes novads</v>
      </c>
      <c r="B6" s="232"/>
      <c r="C6" s="232"/>
      <c r="D6" s="232"/>
      <c r="E6" s="232"/>
      <c r="F6" s="72"/>
      <c r="G6" s="70"/>
      <c r="H6" s="78"/>
      <c r="I6" s="70"/>
      <c r="J6" s="70"/>
      <c r="K6" s="70"/>
      <c r="L6" s="70"/>
      <c r="M6" s="70"/>
      <c r="N6" s="70"/>
      <c r="O6" s="70"/>
    </row>
    <row r="7" spans="1:16" ht="14.25" customHeight="1">
      <c r="A7" s="232" t="str">
        <f>Koptāme!$A$13</f>
        <v>Pasūtītājs: Z/S "Jaunceriņi"</v>
      </c>
      <c r="B7" s="232"/>
      <c r="C7" s="232"/>
      <c r="D7" s="232"/>
      <c r="E7" s="232"/>
      <c r="F7" s="70"/>
      <c r="G7" s="70"/>
      <c r="H7" s="78"/>
      <c r="I7" s="70"/>
      <c r="J7" s="70"/>
      <c r="K7" s="70"/>
      <c r="L7" s="70"/>
      <c r="M7" s="70"/>
      <c r="N7" s="70"/>
      <c r="O7" s="70"/>
    </row>
    <row r="8" spans="1:16" ht="12">
      <c r="A8" s="77"/>
      <c r="B8" s="80"/>
      <c r="C8" s="77"/>
      <c r="D8" s="71"/>
      <c r="E8" s="71"/>
      <c r="F8" s="71"/>
      <c r="G8" s="71"/>
      <c r="H8" s="71"/>
      <c r="I8" s="71"/>
      <c r="J8" s="71"/>
      <c r="K8" s="71"/>
      <c r="L8" s="71"/>
      <c r="M8" s="71"/>
      <c r="N8" s="71"/>
      <c r="O8" s="81" t="s">
        <v>50</v>
      </c>
      <c r="P8" s="82">
        <f>P68</f>
        <v>0</v>
      </c>
    </row>
    <row r="9" spans="1:16" ht="12">
      <c r="A9" s="77"/>
      <c r="B9" s="80"/>
      <c r="C9" s="77"/>
      <c r="D9" s="71"/>
      <c r="E9" s="71"/>
      <c r="F9" s="71"/>
      <c r="G9" s="71"/>
      <c r="H9" s="71"/>
      <c r="I9" s="71"/>
      <c r="J9" s="71"/>
      <c r="K9" s="71"/>
      <c r="L9" s="71"/>
      <c r="M9" s="71"/>
      <c r="N9" s="83" t="str">
        <f>'1-1.DOP'!$N$9</f>
        <v>Tāme sastādīta: 2025.gada 20. oktobrī</v>
      </c>
      <c r="O9" s="84"/>
      <c r="P9" s="71"/>
    </row>
    <row r="11" spans="1:16" ht="12">
      <c r="A11" s="228" t="s">
        <v>51</v>
      </c>
      <c r="B11" s="229" t="s">
        <v>52</v>
      </c>
      <c r="C11" s="228" t="s">
        <v>53</v>
      </c>
      <c r="D11" s="228" t="s">
        <v>54</v>
      </c>
      <c r="E11" s="228" t="s">
        <v>55</v>
      </c>
      <c r="F11" s="226" t="s">
        <v>56</v>
      </c>
      <c r="G11" s="226"/>
      <c r="H11" s="226"/>
      <c r="I11" s="226"/>
      <c r="J11" s="226"/>
      <c r="K11" s="226"/>
      <c r="L11" s="226" t="s">
        <v>57</v>
      </c>
      <c r="M11" s="226"/>
      <c r="N11" s="226"/>
      <c r="O11" s="226"/>
      <c r="P11" s="226"/>
    </row>
    <row r="12" spans="1:16" ht="48">
      <c r="A12" s="228"/>
      <c r="B12" s="229"/>
      <c r="C12" s="228"/>
      <c r="D12" s="228"/>
      <c r="E12" s="228"/>
      <c r="F12" s="196" t="s">
        <v>58</v>
      </c>
      <c r="G12" s="196" t="s">
        <v>59</v>
      </c>
      <c r="H12" s="196" t="s">
        <v>60</v>
      </c>
      <c r="I12" s="196" t="s">
        <v>24</v>
      </c>
      <c r="J12" s="196" t="s">
        <v>61</v>
      </c>
      <c r="K12" s="196" t="s">
        <v>62</v>
      </c>
      <c r="L12" s="196" t="s">
        <v>63</v>
      </c>
      <c r="M12" s="196" t="s">
        <v>60</v>
      </c>
      <c r="N12" s="196" t="s">
        <v>24</v>
      </c>
      <c r="O12" s="196" t="s">
        <v>61</v>
      </c>
      <c r="P12" s="196" t="s">
        <v>64</v>
      </c>
    </row>
    <row r="13" spans="1:16" ht="12">
      <c r="A13" s="196">
        <v>1</v>
      </c>
      <c r="B13" s="196">
        <v>2</v>
      </c>
      <c r="C13" s="196">
        <f>B13+1</f>
        <v>3</v>
      </c>
      <c r="D13" s="196">
        <f>C13+1</f>
        <v>4</v>
      </c>
      <c r="E13" s="196">
        <f t="shared" ref="E13:P13" si="0">D13+1</f>
        <v>5</v>
      </c>
      <c r="F13" s="196">
        <f>E13+1</f>
        <v>6</v>
      </c>
      <c r="G13" s="196">
        <f t="shared" si="0"/>
        <v>7</v>
      </c>
      <c r="H13" s="196">
        <f t="shared" si="0"/>
        <v>8</v>
      </c>
      <c r="I13" s="196">
        <f t="shared" si="0"/>
        <v>9</v>
      </c>
      <c r="J13" s="196">
        <f t="shared" si="0"/>
        <v>10</v>
      </c>
      <c r="K13" s="196">
        <f t="shared" si="0"/>
        <v>11</v>
      </c>
      <c r="L13" s="196">
        <f t="shared" si="0"/>
        <v>12</v>
      </c>
      <c r="M13" s="196">
        <f t="shared" si="0"/>
        <v>13</v>
      </c>
      <c r="N13" s="196">
        <f t="shared" si="0"/>
        <v>14</v>
      </c>
      <c r="O13" s="196">
        <f t="shared" si="0"/>
        <v>15</v>
      </c>
      <c r="P13" s="196">
        <f t="shared" si="0"/>
        <v>16</v>
      </c>
    </row>
    <row r="14" spans="1:16">
      <c r="A14" s="86"/>
      <c r="B14" s="86"/>
      <c r="C14" s="87" t="s">
        <v>271</v>
      </c>
      <c r="D14" s="88"/>
      <c r="E14" s="89"/>
      <c r="F14" s="90"/>
      <c r="G14" s="90"/>
      <c r="H14" s="90"/>
      <c r="I14" s="90"/>
      <c r="J14" s="90"/>
      <c r="K14" s="90"/>
      <c r="L14" s="90"/>
      <c r="M14" s="90"/>
      <c r="N14" s="90"/>
      <c r="O14" s="90"/>
      <c r="P14" s="90"/>
    </row>
    <row r="15" spans="1:16" ht="14.1">
      <c r="A15" s="100">
        <f>IF(D15="","",COUNTIF(B$13:$B15,"l.c"))</f>
        <v>1</v>
      </c>
      <c r="B15" s="100" t="str">
        <f t="shared" ref="B15:B16" si="1">IF(D15="","","l.c")</f>
        <v>l.c</v>
      </c>
      <c r="C15" s="101" t="s">
        <v>272</v>
      </c>
      <c r="D15" s="102" t="s">
        <v>113</v>
      </c>
      <c r="E15" s="102">
        <v>3</v>
      </c>
      <c r="F15" s="91"/>
      <c r="G15" s="92"/>
      <c r="H15" s="92"/>
      <c r="I15" s="92"/>
      <c r="J15" s="92"/>
      <c r="K15" s="92"/>
      <c r="L15" s="92"/>
      <c r="M15" s="92"/>
      <c r="N15" s="92"/>
      <c r="O15" s="92"/>
      <c r="P15" s="92"/>
    </row>
    <row r="16" spans="1:16" ht="14.1">
      <c r="A16" s="100">
        <f>A15+1</f>
        <v>2</v>
      </c>
      <c r="B16" s="100" t="str">
        <f t="shared" si="1"/>
        <v>l.c</v>
      </c>
      <c r="C16" s="101" t="s">
        <v>273</v>
      </c>
      <c r="D16" s="102" t="s">
        <v>113</v>
      </c>
      <c r="E16" s="102">
        <v>2</v>
      </c>
      <c r="F16" s="91"/>
      <c r="G16" s="92"/>
      <c r="H16" s="92"/>
      <c r="I16" s="92"/>
      <c r="J16" s="92"/>
      <c r="K16" s="92"/>
      <c r="L16" s="92"/>
      <c r="M16" s="92"/>
      <c r="N16" s="92"/>
      <c r="O16" s="92"/>
      <c r="P16" s="92"/>
    </row>
    <row r="17" spans="1:16" ht="14.1">
      <c r="A17" s="100">
        <f t="shared" ref="A17:A67" si="2">A16+1</f>
        <v>3</v>
      </c>
      <c r="B17" s="100" t="str">
        <f t="shared" ref="B17:B67" si="3">IF(D17="","","l.c")</f>
        <v>l.c</v>
      </c>
      <c r="C17" s="101" t="s">
        <v>274</v>
      </c>
      <c r="D17" s="102" t="s">
        <v>113</v>
      </c>
      <c r="E17" s="102">
        <v>1</v>
      </c>
      <c r="F17" s="91"/>
      <c r="G17" s="92"/>
      <c r="H17" s="92"/>
      <c r="I17" s="92"/>
      <c r="J17" s="92"/>
      <c r="K17" s="92"/>
      <c r="L17" s="92"/>
      <c r="M17" s="92"/>
      <c r="N17" s="92"/>
      <c r="O17" s="92"/>
      <c r="P17" s="92"/>
    </row>
    <row r="18" spans="1:16" ht="14.1">
      <c r="A18" s="100">
        <f t="shared" si="2"/>
        <v>4</v>
      </c>
      <c r="B18" s="100" t="str">
        <f t="shared" si="3"/>
        <v>l.c</v>
      </c>
      <c r="C18" s="101" t="s">
        <v>275</v>
      </c>
      <c r="D18" s="102" t="s">
        <v>113</v>
      </c>
      <c r="E18" s="102">
        <v>3</v>
      </c>
      <c r="F18" s="91"/>
      <c r="G18" s="92"/>
      <c r="H18" s="92"/>
      <c r="I18" s="92"/>
      <c r="J18" s="92"/>
      <c r="K18" s="92"/>
      <c r="L18" s="92"/>
      <c r="M18" s="92"/>
      <c r="N18" s="92"/>
      <c r="O18" s="92"/>
      <c r="P18" s="92"/>
    </row>
    <row r="19" spans="1:16" ht="14.1">
      <c r="A19" s="100">
        <f t="shared" si="2"/>
        <v>5</v>
      </c>
      <c r="B19" s="100" t="str">
        <f t="shared" si="3"/>
        <v>l.c</v>
      </c>
      <c r="C19" s="101" t="s">
        <v>276</v>
      </c>
      <c r="D19" s="102" t="s">
        <v>113</v>
      </c>
      <c r="E19" s="102">
        <v>1</v>
      </c>
      <c r="F19" s="91"/>
      <c r="G19" s="92"/>
      <c r="H19" s="92"/>
      <c r="I19" s="92"/>
      <c r="J19" s="92"/>
      <c r="K19" s="92"/>
      <c r="L19" s="92"/>
      <c r="M19" s="92"/>
      <c r="N19" s="92"/>
      <c r="O19" s="92"/>
      <c r="P19" s="92"/>
    </row>
    <row r="20" spans="1:16" ht="14.1">
      <c r="A20" s="100">
        <f t="shared" si="2"/>
        <v>6</v>
      </c>
      <c r="B20" s="100" t="str">
        <f t="shared" si="3"/>
        <v>l.c</v>
      </c>
      <c r="C20" s="101" t="s">
        <v>277</v>
      </c>
      <c r="D20" s="102" t="s">
        <v>113</v>
      </c>
      <c r="E20" s="102">
        <v>3</v>
      </c>
      <c r="F20" s="91"/>
      <c r="G20" s="92"/>
      <c r="H20" s="92"/>
      <c r="I20" s="92"/>
      <c r="J20" s="92"/>
      <c r="K20" s="92"/>
      <c r="L20" s="92"/>
      <c r="M20" s="92"/>
      <c r="N20" s="92"/>
      <c r="O20" s="92"/>
      <c r="P20" s="92"/>
    </row>
    <row r="21" spans="1:16" ht="14.1">
      <c r="A21" s="100">
        <f t="shared" si="2"/>
        <v>7</v>
      </c>
      <c r="B21" s="100" t="str">
        <f t="shared" si="3"/>
        <v>l.c</v>
      </c>
      <c r="C21" s="103" t="s">
        <v>278</v>
      </c>
      <c r="D21" s="102" t="s">
        <v>113</v>
      </c>
      <c r="E21" s="102">
        <v>2</v>
      </c>
      <c r="F21" s="91"/>
      <c r="G21" s="92"/>
      <c r="H21" s="92"/>
      <c r="I21" s="92"/>
      <c r="J21" s="92"/>
      <c r="K21" s="92"/>
      <c r="L21" s="92"/>
      <c r="M21" s="92"/>
      <c r="N21" s="92"/>
      <c r="O21" s="92"/>
      <c r="P21" s="92"/>
    </row>
    <row r="22" spans="1:16" ht="14.1">
      <c r="A22" s="100">
        <f t="shared" si="2"/>
        <v>8</v>
      </c>
      <c r="B22" s="100" t="str">
        <f t="shared" si="3"/>
        <v>l.c</v>
      </c>
      <c r="C22" s="103" t="s">
        <v>279</v>
      </c>
      <c r="D22" s="102" t="s">
        <v>113</v>
      </c>
      <c r="E22" s="102">
        <v>13</v>
      </c>
      <c r="F22" s="91"/>
      <c r="G22" s="92"/>
      <c r="H22" s="92"/>
      <c r="I22" s="92"/>
      <c r="J22" s="92"/>
      <c r="K22" s="92"/>
      <c r="L22" s="92"/>
      <c r="M22" s="92"/>
      <c r="N22" s="92"/>
      <c r="O22" s="92"/>
      <c r="P22" s="92"/>
    </row>
    <row r="23" spans="1:16" ht="14.1">
      <c r="A23" s="100">
        <f t="shared" si="2"/>
        <v>9</v>
      </c>
      <c r="B23" s="100" t="str">
        <f t="shared" si="3"/>
        <v>l.c</v>
      </c>
      <c r="C23" s="101" t="s">
        <v>280</v>
      </c>
      <c r="D23" s="102" t="s">
        <v>113</v>
      </c>
      <c r="E23" s="102">
        <v>4</v>
      </c>
      <c r="F23" s="91"/>
      <c r="G23" s="92"/>
      <c r="H23" s="92"/>
      <c r="I23" s="92"/>
      <c r="J23" s="92"/>
      <c r="K23" s="92"/>
      <c r="L23" s="92"/>
      <c r="M23" s="92"/>
      <c r="N23" s="92"/>
      <c r="O23" s="92"/>
      <c r="P23" s="92"/>
    </row>
    <row r="24" spans="1:16" ht="14.1">
      <c r="A24" s="100">
        <f t="shared" si="2"/>
        <v>10</v>
      </c>
      <c r="B24" s="100" t="str">
        <f t="shared" si="3"/>
        <v>l.c</v>
      </c>
      <c r="C24" s="101" t="s">
        <v>281</v>
      </c>
      <c r="D24" s="102" t="s">
        <v>113</v>
      </c>
      <c r="E24" s="102">
        <v>1</v>
      </c>
      <c r="F24" s="91"/>
      <c r="G24" s="92"/>
      <c r="H24" s="92"/>
      <c r="I24" s="92"/>
      <c r="J24" s="92"/>
      <c r="K24" s="92"/>
      <c r="L24" s="92"/>
      <c r="M24" s="92"/>
      <c r="N24" s="92"/>
      <c r="O24" s="92"/>
      <c r="P24" s="92"/>
    </row>
    <row r="25" spans="1:16" ht="27.95">
      <c r="A25" s="100">
        <f t="shared" si="2"/>
        <v>11</v>
      </c>
      <c r="B25" s="100" t="str">
        <f t="shared" si="3"/>
        <v>l.c</v>
      </c>
      <c r="C25" s="103" t="s">
        <v>282</v>
      </c>
      <c r="D25" s="102" t="s">
        <v>76</v>
      </c>
      <c r="E25" s="102">
        <v>1</v>
      </c>
      <c r="F25" s="91"/>
      <c r="G25" s="92"/>
      <c r="H25" s="92"/>
      <c r="I25" s="92"/>
      <c r="J25" s="92"/>
      <c r="K25" s="92"/>
      <c r="L25" s="92"/>
      <c r="M25" s="92"/>
      <c r="N25" s="92"/>
      <c r="O25" s="92"/>
      <c r="P25" s="92"/>
    </row>
    <row r="26" spans="1:16" ht="27.95">
      <c r="A26" s="100">
        <f t="shared" si="2"/>
        <v>12</v>
      </c>
      <c r="B26" s="100" t="str">
        <f t="shared" si="3"/>
        <v>l.c</v>
      </c>
      <c r="C26" s="103" t="s">
        <v>283</v>
      </c>
      <c r="D26" s="102" t="s">
        <v>76</v>
      </c>
      <c r="E26" s="102">
        <v>1</v>
      </c>
      <c r="F26" s="91"/>
      <c r="G26" s="92"/>
      <c r="H26" s="92"/>
      <c r="I26" s="92"/>
      <c r="J26" s="92"/>
      <c r="K26" s="92"/>
      <c r="L26" s="92"/>
      <c r="M26" s="92"/>
      <c r="N26" s="92"/>
      <c r="O26" s="92"/>
      <c r="P26" s="92"/>
    </row>
    <row r="27" spans="1:16" ht="27.95">
      <c r="A27" s="100">
        <f t="shared" si="2"/>
        <v>13</v>
      </c>
      <c r="B27" s="100" t="str">
        <f t="shared" si="3"/>
        <v>l.c</v>
      </c>
      <c r="C27" s="103" t="s">
        <v>284</v>
      </c>
      <c r="D27" s="102" t="s">
        <v>76</v>
      </c>
      <c r="E27" s="102">
        <v>1</v>
      </c>
      <c r="F27" s="91"/>
      <c r="G27" s="92"/>
      <c r="H27" s="92"/>
      <c r="I27" s="92"/>
      <c r="J27" s="92"/>
      <c r="K27" s="92"/>
      <c r="L27" s="92"/>
      <c r="M27" s="92"/>
      <c r="N27" s="92"/>
      <c r="O27" s="92"/>
      <c r="P27" s="92"/>
    </row>
    <row r="28" spans="1:16" ht="27.95">
      <c r="A28" s="100">
        <f t="shared" si="2"/>
        <v>14</v>
      </c>
      <c r="B28" s="100" t="str">
        <f t="shared" si="3"/>
        <v>l.c</v>
      </c>
      <c r="C28" s="103" t="s">
        <v>285</v>
      </c>
      <c r="D28" s="102" t="s">
        <v>76</v>
      </c>
      <c r="E28" s="102">
        <v>1</v>
      </c>
      <c r="F28" s="91"/>
      <c r="G28" s="92"/>
      <c r="H28" s="92"/>
      <c r="I28" s="92"/>
      <c r="J28" s="92"/>
      <c r="K28" s="92"/>
      <c r="L28" s="92"/>
      <c r="M28" s="92"/>
      <c r="N28" s="92"/>
      <c r="O28" s="92"/>
      <c r="P28" s="92"/>
    </row>
    <row r="29" spans="1:16" ht="27.95">
      <c r="A29" s="100">
        <f t="shared" si="2"/>
        <v>15</v>
      </c>
      <c r="B29" s="100" t="str">
        <f t="shared" si="3"/>
        <v>l.c</v>
      </c>
      <c r="C29" s="103" t="s">
        <v>286</v>
      </c>
      <c r="D29" s="102" t="s">
        <v>76</v>
      </c>
      <c r="E29" s="102">
        <v>1</v>
      </c>
      <c r="F29" s="91"/>
      <c r="G29" s="92"/>
      <c r="H29" s="92"/>
      <c r="I29" s="92"/>
      <c r="J29" s="92"/>
      <c r="K29" s="92"/>
      <c r="L29" s="92"/>
      <c r="M29" s="92"/>
      <c r="N29" s="92"/>
      <c r="O29" s="92"/>
      <c r="P29" s="92"/>
    </row>
    <row r="30" spans="1:16" ht="14.1">
      <c r="A30" s="100">
        <f t="shared" si="2"/>
        <v>16</v>
      </c>
      <c r="B30" s="100" t="str">
        <f t="shared" si="3"/>
        <v>l.c</v>
      </c>
      <c r="C30" s="103" t="s">
        <v>287</v>
      </c>
      <c r="D30" s="102" t="s">
        <v>76</v>
      </c>
      <c r="E30" s="102">
        <v>1</v>
      </c>
      <c r="F30" s="91"/>
      <c r="G30" s="92"/>
      <c r="H30" s="92"/>
      <c r="I30" s="92"/>
      <c r="J30" s="92"/>
      <c r="K30" s="92"/>
      <c r="L30" s="92"/>
      <c r="M30" s="92"/>
      <c r="N30" s="92"/>
      <c r="O30" s="92"/>
      <c r="P30" s="92"/>
    </row>
    <row r="31" spans="1:16" ht="14.1">
      <c r="A31" s="100">
        <f t="shared" si="2"/>
        <v>17</v>
      </c>
      <c r="B31" s="100" t="str">
        <f t="shared" si="3"/>
        <v>l.c</v>
      </c>
      <c r="C31" s="103" t="s">
        <v>288</v>
      </c>
      <c r="D31" s="102" t="s">
        <v>113</v>
      </c>
      <c r="E31" s="102">
        <v>1</v>
      </c>
      <c r="F31" s="91"/>
      <c r="G31" s="92"/>
      <c r="H31" s="92"/>
      <c r="I31" s="92"/>
      <c r="J31" s="92"/>
      <c r="K31" s="92"/>
      <c r="L31" s="92"/>
      <c r="M31" s="92"/>
      <c r="N31" s="92"/>
      <c r="O31" s="92"/>
      <c r="P31" s="92"/>
    </row>
    <row r="32" spans="1:16" ht="27.95">
      <c r="A32" s="100">
        <f t="shared" si="2"/>
        <v>18</v>
      </c>
      <c r="B32" s="100" t="str">
        <f t="shared" si="3"/>
        <v>l.c</v>
      </c>
      <c r="C32" s="103" t="s">
        <v>289</v>
      </c>
      <c r="D32" s="102" t="s">
        <v>113</v>
      </c>
      <c r="E32" s="102">
        <v>4</v>
      </c>
      <c r="F32" s="91"/>
      <c r="G32" s="92"/>
      <c r="H32" s="92"/>
      <c r="I32" s="92"/>
      <c r="J32" s="92"/>
      <c r="K32" s="92"/>
      <c r="L32" s="92"/>
      <c r="M32" s="92"/>
      <c r="N32" s="92"/>
      <c r="O32" s="92"/>
      <c r="P32" s="92"/>
    </row>
    <row r="33" spans="1:16" ht="27.95">
      <c r="A33" s="100">
        <f t="shared" si="2"/>
        <v>19</v>
      </c>
      <c r="B33" s="100" t="str">
        <f t="shared" si="3"/>
        <v>l.c</v>
      </c>
      <c r="C33" s="103" t="s">
        <v>290</v>
      </c>
      <c r="D33" s="102" t="s">
        <v>113</v>
      </c>
      <c r="E33" s="102">
        <v>1</v>
      </c>
      <c r="F33" s="91"/>
      <c r="G33" s="92"/>
      <c r="H33" s="92"/>
      <c r="I33" s="92"/>
      <c r="J33" s="92"/>
      <c r="K33" s="92"/>
      <c r="L33" s="92"/>
      <c r="M33" s="92"/>
      <c r="N33" s="92"/>
      <c r="O33" s="92"/>
      <c r="P33" s="92"/>
    </row>
    <row r="34" spans="1:16" ht="14.1">
      <c r="A34" s="100">
        <f t="shared" si="2"/>
        <v>20</v>
      </c>
      <c r="B34" s="100" t="str">
        <f t="shared" si="3"/>
        <v>l.c</v>
      </c>
      <c r="C34" s="103" t="s">
        <v>291</v>
      </c>
      <c r="D34" s="102" t="s">
        <v>113</v>
      </c>
      <c r="E34" s="102">
        <v>2</v>
      </c>
      <c r="F34" s="91"/>
      <c r="G34" s="92"/>
      <c r="H34" s="92"/>
      <c r="I34" s="92"/>
      <c r="J34" s="92"/>
      <c r="K34" s="92"/>
      <c r="L34" s="92"/>
      <c r="M34" s="92"/>
      <c r="N34" s="92"/>
      <c r="O34" s="92"/>
      <c r="P34" s="92"/>
    </row>
    <row r="35" spans="1:16" ht="27.95">
      <c r="A35" s="100">
        <f t="shared" si="2"/>
        <v>21</v>
      </c>
      <c r="B35" s="100" t="str">
        <f t="shared" si="3"/>
        <v>l.c</v>
      </c>
      <c r="C35" s="103" t="s">
        <v>292</v>
      </c>
      <c r="D35" s="102" t="s">
        <v>113</v>
      </c>
      <c r="E35" s="102">
        <v>4</v>
      </c>
      <c r="F35" s="91"/>
      <c r="G35" s="92"/>
      <c r="H35" s="92"/>
      <c r="I35" s="92"/>
      <c r="J35" s="92"/>
      <c r="K35" s="92"/>
      <c r="L35" s="92"/>
      <c r="M35" s="92"/>
      <c r="N35" s="92"/>
      <c r="O35" s="92"/>
      <c r="P35" s="92"/>
    </row>
    <row r="36" spans="1:16" ht="27.95">
      <c r="A36" s="100">
        <f t="shared" si="2"/>
        <v>22</v>
      </c>
      <c r="B36" s="100" t="str">
        <f t="shared" si="3"/>
        <v>l.c</v>
      </c>
      <c r="C36" s="103" t="s">
        <v>292</v>
      </c>
      <c r="D36" s="102" t="s">
        <v>113</v>
      </c>
      <c r="E36" s="102">
        <v>12</v>
      </c>
      <c r="F36" s="91"/>
      <c r="G36" s="92"/>
      <c r="H36" s="92"/>
      <c r="I36" s="92"/>
      <c r="J36" s="92"/>
      <c r="K36" s="92"/>
      <c r="L36" s="92"/>
      <c r="M36" s="92"/>
      <c r="N36" s="92"/>
      <c r="O36" s="92"/>
      <c r="P36" s="92"/>
    </row>
    <row r="37" spans="1:16" ht="27.95">
      <c r="A37" s="100">
        <f t="shared" si="2"/>
        <v>23</v>
      </c>
      <c r="B37" s="100" t="str">
        <f t="shared" si="3"/>
        <v>l.c</v>
      </c>
      <c r="C37" s="103" t="s">
        <v>293</v>
      </c>
      <c r="D37" s="102" t="s">
        <v>113</v>
      </c>
      <c r="E37" s="102">
        <v>10</v>
      </c>
      <c r="F37" s="91"/>
      <c r="G37" s="92"/>
      <c r="H37" s="92"/>
      <c r="I37" s="92"/>
      <c r="J37" s="92"/>
      <c r="K37" s="92"/>
      <c r="L37" s="92"/>
      <c r="M37" s="92"/>
      <c r="N37" s="92"/>
      <c r="O37" s="92"/>
      <c r="P37" s="92"/>
    </row>
    <row r="38" spans="1:16" ht="27.95">
      <c r="A38" s="100">
        <f t="shared" si="2"/>
        <v>24</v>
      </c>
      <c r="B38" s="100" t="str">
        <f t="shared" si="3"/>
        <v>l.c</v>
      </c>
      <c r="C38" s="103" t="s">
        <v>294</v>
      </c>
      <c r="D38" s="102" t="s">
        <v>113</v>
      </c>
      <c r="E38" s="102">
        <v>2</v>
      </c>
      <c r="F38" s="91"/>
      <c r="G38" s="92"/>
      <c r="H38" s="92"/>
      <c r="I38" s="92"/>
      <c r="J38" s="92"/>
      <c r="K38" s="92"/>
      <c r="L38" s="92"/>
      <c r="M38" s="92"/>
      <c r="N38" s="92"/>
      <c r="O38" s="92"/>
      <c r="P38" s="92"/>
    </row>
    <row r="39" spans="1:16" ht="14.1">
      <c r="A39" s="100">
        <f t="shared" si="2"/>
        <v>25</v>
      </c>
      <c r="B39" s="100" t="str">
        <f t="shared" si="3"/>
        <v>l.c</v>
      </c>
      <c r="C39" s="103" t="s">
        <v>295</v>
      </c>
      <c r="D39" s="102" t="s">
        <v>113</v>
      </c>
      <c r="E39" s="102">
        <v>2</v>
      </c>
      <c r="F39" s="91"/>
      <c r="G39" s="92"/>
      <c r="H39" s="92"/>
      <c r="I39" s="92"/>
      <c r="J39" s="92"/>
      <c r="K39" s="92"/>
      <c r="L39" s="92"/>
      <c r="M39" s="92"/>
      <c r="N39" s="92"/>
      <c r="O39" s="92"/>
      <c r="P39" s="92"/>
    </row>
    <row r="40" spans="1:16" ht="14.1">
      <c r="A40" s="100">
        <f t="shared" si="2"/>
        <v>26</v>
      </c>
      <c r="B40" s="100" t="str">
        <f t="shared" si="3"/>
        <v>l.c</v>
      </c>
      <c r="C40" s="103" t="s">
        <v>296</v>
      </c>
      <c r="D40" s="102" t="s">
        <v>113</v>
      </c>
      <c r="E40" s="102">
        <v>4</v>
      </c>
      <c r="F40" s="91"/>
      <c r="G40" s="92"/>
      <c r="H40" s="92"/>
      <c r="I40" s="92"/>
      <c r="J40" s="92"/>
      <c r="K40" s="92"/>
      <c r="L40" s="92"/>
      <c r="M40" s="92"/>
      <c r="N40" s="92"/>
      <c r="O40" s="92"/>
      <c r="P40" s="92"/>
    </row>
    <row r="41" spans="1:16" ht="14.1">
      <c r="A41" s="100">
        <f t="shared" si="2"/>
        <v>27</v>
      </c>
      <c r="B41" s="100" t="str">
        <f t="shared" si="3"/>
        <v>l.c</v>
      </c>
      <c r="C41" s="103" t="s">
        <v>297</v>
      </c>
      <c r="D41" s="102" t="s">
        <v>68</v>
      </c>
      <c r="E41" s="102">
        <v>10</v>
      </c>
      <c r="F41" s="91"/>
      <c r="G41" s="92"/>
      <c r="H41" s="92"/>
      <c r="I41" s="92"/>
      <c r="J41" s="92"/>
      <c r="K41" s="92"/>
      <c r="L41" s="92"/>
      <c r="M41" s="92"/>
      <c r="N41" s="92"/>
      <c r="O41" s="92"/>
      <c r="P41" s="92"/>
    </row>
    <row r="42" spans="1:16" ht="14.1">
      <c r="A42" s="100">
        <f t="shared" si="2"/>
        <v>28</v>
      </c>
      <c r="B42" s="100" t="str">
        <f t="shared" si="3"/>
        <v>l.c</v>
      </c>
      <c r="C42" s="103" t="s">
        <v>298</v>
      </c>
      <c r="D42" s="102" t="s">
        <v>68</v>
      </c>
      <c r="E42" s="102">
        <v>51</v>
      </c>
      <c r="F42" s="91"/>
      <c r="G42" s="92"/>
      <c r="H42" s="92"/>
      <c r="I42" s="92"/>
      <c r="J42" s="92"/>
      <c r="K42" s="92"/>
      <c r="L42" s="92"/>
      <c r="M42" s="92"/>
      <c r="N42" s="92"/>
      <c r="O42" s="92"/>
      <c r="P42" s="92"/>
    </row>
    <row r="43" spans="1:16" ht="14.1">
      <c r="A43" s="100">
        <f t="shared" si="2"/>
        <v>29</v>
      </c>
      <c r="B43" s="100" t="str">
        <f t="shared" si="3"/>
        <v>l.c</v>
      </c>
      <c r="C43" s="103" t="s">
        <v>299</v>
      </c>
      <c r="D43" s="102" t="s">
        <v>68</v>
      </c>
      <c r="E43" s="102">
        <v>184</v>
      </c>
      <c r="F43" s="91"/>
      <c r="G43" s="92"/>
      <c r="H43" s="92"/>
      <c r="I43" s="92"/>
      <c r="J43" s="92"/>
      <c r="K43" s="92"/>
      <c r="L43" s="92"/>
      <c r="M43" s="92"/>
      <c r="N43" s="92"/>
      <c r="O43" s="92"/>
      <c r="P43" s="92"/>
    </row>
    <row r="44" spans="1:16" ht="14.1">
      <c r="A44" s="100">
        <f t="shared" si="2"/>
        <v>30</v>
      </c>
      <c r="B44" s="100" t="str">
        <f t="shared" si="3"/>
        <v>l.c</v>
      </c>
      <c r="C44" s="103" t="s">
        <v>300</v>
      </c>
      <c r="D44" s="102" t="s">
        <v>68</v>
      </c>
      <c r="E44" s="102">
        <v>10</v>
      </c>
      <c r="F44" s="91"/>
      <c r="G44" s="92"/>
      <c r="H44" s="92"/>
      <c r="I44" s="92"/>
      <c r="J44" s="92"/>
      <c r="K44" s="92"/>
      <c r="L44" s="92"/>
      <c r="M44" s="92"/>
      <c r="N44" s="92"/>
      <c r="O44" s="92"/>
      <c r="P44" s="92"/>
    </row>
    <row r="45" spans="1:16" ht="14.1">
      <c r="A45" s="100">
        <f t="shared" si="2"/>
        <v>31</v>
      </c>
      <c r="B45" s="100" t="str">
        <f t="shared" si="3"/>
        <v>l.c</v>
      </c>
      <c r="C45" s="103" t="s">
        <v>301</v>
      </c>
      <c r="D45" s="102" t="s">
        <v>68</v>
      </c>
      <c r="E45" s="102">
        <v>144</v>
      </c>
      <c r="F45" s="91"/>
      <c r="G45" s="92"/>
      <c r="H45" s="92"/>
      <c r="I45" s="92"/>
      <c r="J45" s="92"/>
      <c r="K45" s="92"/>
      <c r="L45" s="92"/>
      <c r="M45" s="92"/>
      <c r="N45" s="92"/>
      <c r="O45" s="92"/>
      <c r="P45" s="92"/>
    </row>
    <row r="46" spans="1:16" ht="14.1">
      <c r="A46" s="100">
        <f t="shared" si="2"/>
        <v>32</v>
      </c>
      <c r="B46" s="100" t="str">
        <f t="shared" si="3"/>
        <v>l.c</v>
      </c>
      <c r="C46" s="103" t="s">
        <v>302</v>
      </c>
      <c r="D46" s="102" t="s">
        <v>68</v>
      </c>
      <c r="E46" s="102">
        <v>195</v>
      </c>
      <c r="F46" s="91"/>
      <c r="G46" s="92"/>
      <c r="H46" s="92"/>
      <c r="I46" s="92"/>
      <c r="J46" s="92"/>
      <c r="K46" s="92"/>
      <c r="L46" s="92"/>
      <c r="M46" s="92"/>
      <c r="N46" s="92"/>
      <c r="O46" s="92"/>
      <c r="P46" s="92"/>
    </row>
    <row r="47" spans="1:16" ht="14.1">
      <c r="A47" s="100">
        <f t="shared" si="2"/>
        <v>33</v>
      </c>
      <c r="B47" s="100" t="str">
        <f t="shared" si="3"/>
        <v>l.c</v>
      </c>
      <c r="C47" s="103" t="s">
        <v>303</v>
      </c>
      <c r="D47" s="102" t="s">
        <v>68</v>
      </c>
      <c r="E47" s="102">
        <v>825</v>
      </c>
      <c r="F47" s="91"/>
      <c r="G47" s="92"/>
      <c r="H47" s="92"/>
      <c r="I47" s="92"/>
      <c r="J47" s="92"/>
      <c r="K47" s="92"/>
      <c r="L47" s="92"/>
      <c r="M47" s="92"/>
      <c r="N47" s="92"/>
      <c r="O47" s="92"/>
      <c r="P47" s="92"/>
    </row>
    <row r="48" spans="1:16" ht="14.1">
      <c r="A48" s="100">
        <f t="shared" si="2"/>
        <v>34</v>
      </c>
      <c r="B48" s="100" t="str">
        <f t="shared" si="3"/>
        <v>l.c</v>
      </c>
      <c r="C48" s="103" t="s">
        <v>304</v>
      </c>
      <c r="D48" s="102" t="s">
        <v>68</v>
      </c>
      <c r="E48" s="102">
        <v>81</v>
      </c>
      <c r="F48" s="91"/>
      <c r="G48" s="92"/>
      <c r="H48" s="92"/>
      <c r="I48" s="92"/>
      <c r="J48" s="92"/>
      <c r="K48" s="92"/>
      <c r="L48" s="92"/>
      <c r="M48" s="92"/>
      <c r="N48" s="92"/>
      <c r="O48" s="92"/>
      <c r="P48" s="92"/>
    </row>
    <row r="49" spans="1:16" ht="14.1">
      <c r="A49" s="100">
        <f t="shared" si="2"/>
        <v>35</v>
      </c>
      <c r="B49" s="100" t="str">
        <f t="shared" si="3"/>
        <v>l.c</v>
      </c>
      <c r="C49" s="133" t="s">
        <v>305</v>
      </c>
      <c r="D49" s="102" t="s">
        <v>68</v>
      </c>
      <c r="E49" s="102">
        <v>175</v>
      </c>
      <c r="F49" s="91"/>
      <c r="G49" s="92"/>
      <c r="H49" s="92"/>
      <c r="I49" s="92"/>
      <c r="J49" s="92"/>
      <c r="K49" s="92"/>
      <c r="L49" s="92"/>
      <c r="M49" s="92"/>
      <c r="N49" s="92"/>
      <c r="O49" s="92"/>
      <c r="P49" s="92"/>
    </row>
    <row r="50" spans="1:16" ht="14.1">
      <c r="A50" s="100">
        <f t="shared" si="2"/>
        <v>36</v>
      </c>
      <c r="B50" s="100" t="str">
        <f t="shared" si="3"/>
        <v>l.c</v>
      </c>
      <c r="C50" s="134" t="s">
        <v>306</v>
      </c>
      <c r="D50" s="102" t="s">
        <v>68</v>
      </c>
      <c r="E50" s="102">
        <v>30</v>
      </c>
      <c r="F50" s="91"/>
      <c r="G50" s="92"/>
      <c r="H50" s="92"/>
      <c r="I50" s="92"/>
      <c r="J50" s="92"/>
      <c r="K50" s="92"/>
      <c r="L50" s="92"/>
      <c r="M50" s="92"/>
      <c r="N50" s="92"/>
      <c r="O50" s="92"/>
      <c r="P50" s="92"/>
    </row>
    <row r="51" spans="1:16" ht="14.1">
      <c r="A51" s="100">
        <f t="shared" si="2"/>
        <v>37</v>
      </c>
      <c r="B51" s="100" t="str">
        <f t="shared" si="3"/>
        <v>l.c</v>
      </c>
      <c r="C51" s="134" t="s">
        <v>307</v>
      </c>
      <c r="D51" s="102" t="s">
        <v>68</v>
      </c>
      <c r="E51" s="102">
        <v>100</v>
      </c>
      <c r="F51" s="91"/>
      <c r="G51" s="92"/>
      <c r="H51" s="92"/>
      <c r="I51" s="92"/>
      <c r="J51" s="92"/>
      <c r="K51" s="92"/>
      <c r="L51" s="92"/>
      <c r="M51" s="92"/>
      <c r="N51" s="92"/>
      <c r="O51" s="92"/>
      <c r="P51" s="92"/>
    </row>
    <row r="52" spans="1:16" ht="14.1">
      <c r="A52" s="100">
        <f t="shared" si="2"/>
        <v>38</v>
      </c>
      <c r="B52" s="100" t="str">
        <f t="shared" si="3"/>
        <v>l.c</v>
      </c>
      <c r="C52" s="101" t="s">
        <v>308</v>
      </c>
      <c r="D52" s="102" t="s">
        <v>68</v>
      </c>
      <c r="E52" s="102">
        <v>100</v>
      </c>
      <c r="F52" s="91"/>
      <c r="G52" s="92"/>
      <c r="H52" s="92"/>
      <c r="I52" s="92"/>
      <c r="J52" s="92"/>
      <c r="K52" s="92"/>
      <c r="L52" s="92"/>
      <c r="M52" s="92"/>
      <c r="N52" s="92"/>
      <c r="O52" s="92"/>
      <c r="P52" s="92"/>
    </row>
    <row r="53" spans="1:16" ht="14.1">
      <c r="A53" s="100">
        <f t="shared" si="2"/>
        <v>39</v>
      </c>
      <c r="B53" s="100" t="str">
        <f t="shared" si="3"/>
        <v>l.c</v>
      </c>
      <c r="C53" s="101" t="s">
        <v>309</v>
      </c>
      <c r="D53" s="102" t="s">
        <v>68</v>
      </c>
      <c r="E53" s="102">
        <v>200</v>
      </c>
      <c r="F53" s="91"/>
      <c r="G53" s="92"/>
      <c r="H53" s="92"/>
      <c r="I53" s="92"/>
      <c r="J53" s="92"/>
      <c r="K53" s="92"/>
      <c r="L53" s="92"/>
      <c r="M53" s="92"/>
      <c r="N53" s="92"/>
      <c r="O53" s="92"/>
      <c r="P53" s="92"/>
    </row>
    <row r="54" spans="1:16" ht="14.1">
      <c r="A54" s="100">
        <f t="shared" si="2"/>
        <v>40</v>
      </c>
      <c r="B54" s="100" t="str">
        <f t="shared" si="3"/>
        <v>l.c</v>
      </c>
      <c r="C54" s="101" t="s">
        <v>310</v>
      </c>
      <c r="D54" s="102" t="s">
        <v>76</v>
      </c>
      <c r="E54" s="102">
        <v>10</v>
      </c>
      <c r="F54" s="91"/>
      <c r="G54" s="92"/>
      <c r="H54" s="92"/>
      <c r="I54" s="92"/>
      <c r="J54" s="92"/>
      <c r="K54" s="92"/>
      <c r="L54" s="92"/>
      <c r="M54" s="92"/>
      <c r="N54" s="92"/>
      <c r="O54" s="92"/>
      <c r="P54" s="92"/>
    </row>
    <row r="55" spans="1:16" ht="14.1">
      <c r="A55" s="100">
        <f t="shared" si="2"/>
        <v>41</v>
      </c>
      <c r="B55" s="100" t="str">
        <f t="shared" si="3"/>
        <v>l.c</v>
      </c>
      <c r="C55" s="101" t="s">
        <v>311</v>
      </c>
      <c r="D55" s="102" t="s">
        <v>76</v>
      </c>
      <c r="E55" s="102">
        <v>4</v>
      </c>
      <c r="F55" s="91"/>
      <c r="G55" s="92"/>
      <c r="H55" s="92"/>
      <c r="I55" s="92"/>
      <c r="J55" s="92"/>
      <c r="K55" s="92"/>
      <c r="L55" s="92"/>
      <c r="M55" s="92"/>
      <c r="N55" s="92"/>
      <c r="O55" s="92"/>
      <c r="P55" s="92"/>
    </row>
    <row r="56" spans="1:16" ht="14.1">
      <c r="A56" s="100">
        <f t="shared" si="2"/>
        <v>42</v>
      </c>
      <c r="B56" s="100" t="str">
        <f t="shared" si="3"/>
        <v>l.c</v>
      </c>
      <c r="C56" s="101" t="s">
        <v>312</v>
      </c>
      <c r="D56" s="102" t="s">
        <v>68</v>
      </c>
      <c r="E56" s="102">
        <v>260</v>
      </c>
      <c r="F56" s="91"/>
      <c r="G56" s="92"/>
      <c r="H56" s="92"/>
      <c r="I56" s="92"/>
      <c r="J56" s="92"/>
      <c r="K56" s="92"/>
      <c r="L56" s="92"/>
      <c r="M56" s="92"/>
      <c r="N56" s="92"/>
      <c r="O56" s="92"/>
      <c r="P56" s="92"/>
    </row>
    <row r="57" spans="1:16" ht="14.1">
      <c r="A57" s="100">
        <f t="shared" si="2"/>
        <v>43</v>
      </c>
      <c r="B57" s="100" t="str">
        <f t="shared" si="3"/>
        <v>l.c</v>
      </c>
      <c r="C57" s="101" t="s">
        <v>313</v>
      </c>
      <c r="D57" s="102" t="s">
        <v>68</v>
      </c>
      <c r="E57" s="102">
        <v>20</v>
      </c>
      <c r="F57" s="91"/>
      <c r="G57" s="92"/>
      <c r="H57" s="92"/>
      <c r="I57" s="92"/>
      <c r="J57" s="92"/>
      <c r="K57" s="92"/>
      <c r="L57" s="92"/>
      <c r="M57" s="92"/>
      <c r="N57" s="92"/>
      <c r="O57" s="92"/>
      <c r="P57" s="92"/>
    </row>
    <row r="58" spans="1:16" ht="14.1">
      <c r="A58" s="100">
        <f t="shared" si="2"/>
        <v>44</v>
      </c>
      <c r="B58" s="100" t="str">
        <f t="shared" si="3"/>
        <v>l.c</v>
      </c>
      <c r="C58" s="101" t="s">
        <v>314</v>
      </c>
      <c r="D58" s="102" t="s">
        <v>68</v>
      </c>
      <c r="E58" s="102">
        <v>20</v>
      </c>
      <c r="F58" s="91"/>
      <c r="G58" s="92"/>
      <c r="H58" s="92"/>
      <c r="I58" s="92"/>
      <c r="J58" s="92"/>
      <c r="K58" s="92"/>
      <c r="L58" s="92"/>
      <c r="M58" s="92"/>
      <c r="N58" s="92"/>
      <c r="O58" s="92"/>
      <c r="P58" s="92"/>
    </row>
    <row r="59" spans="1:16" ht="14.1">
      <c r="A59" s="100">
        <f t="shared" si="2"/>
        <v>45</v>
      </c>
      <c r="B59" s="100" t="str">
        <f t="shared" si="3"/>
        <v>l.c</v>
      </c>
      <c r="C59" s="101" t="s">
        <v>315</v>
      </c>
      <c r="D59" s="102" t="s">
        <v>113</v>
      </c>
      <c r="E59" s="102">
        <v>70</v>
      </c>
      <c r="F59" s="91"/>
      <c r="G59" s="92"/>
      <c r="H59" s="92"/>
      <c r="I59" s="92"/>
      <c r="J59" s="92"/>
      <c r="K59" s="92"/>
      <c r="L59" s="92"/>
      <c r="M59" s="92"/>
      <c r="N59" s="92"/>
      <c r="O59" s="92"/>
      <c r="P59" s="92"/>
    </row>
    <row r="60" spans="1:16" ht="15.95">
      <c r="A60" s="100">
        <f t="shared" si="2"/>
        <v>46</v>
      </c>
      <c r="B60" s="100" t="str">
        <f t="shared" si="3"/>
        <v>l.c</v>
      </c>
      <c r="C60" s="103" t="s">
        <v>316</v>
      </c>
      <c r="D60" s="102" t="s">
        <v>68</v>
      </c>
      <c r="E60" s="102">
        <v>100</v>
      </c>
      <c r="F60" s="91"/>
      <c r="G60" s="92"/>
      <c r="H60" s="92"/>
      <c r="I60" s="92"/>
      <c r="J60" s="92"/>
      <c r="K60" s="92"/>
      <c r="L60" s="92"/>
      <c r="M60" s="92"/>
      <c r="N60" s="92"/>
      <c r="O60" s="92"/>
      <c r="P60" s="92"/>
    </row>
    <row r="61" spans="1:16" ht="15.95">
      <c r="A61" s="100">
        <f t="shared" si="2"/>
        <v>47</v>
      </c>
      <c r="B61" s="100" t="str">
        <f t="shared" si="3"/>
        <v>l.c</v>
      </c>
      <c r="C61" s="103" t="s">
        <v>317</v>
      </c>
      <c r="D61" s="102" t="s">
        <v>68</v>
      </c>
      <c r="E61" s="102">
        <v>150</v>
      </c>
      <c r="F61" s="91"/>
      <c r="G61" s="92"/>
      <c r="H61" s="92"/>
      <c r="I61" s="92"/>
      <c r="J61" s="92"/>
      <c r="K61" s="92"/>
      <c r="L61" s="92"/>
      <c r="M61" s="92"/>
      <c r="N61" s="92"/>
      <c r="O61" s="92"/>
      <c r="P61" s="92"/>
    </row>
    <row r="62" spans="1:16" ht="14.1">
      <c r="A62" s="100">
        <f t="shared" si="2"/>
        <v>48</v>
      </c>
      <c r="B62" s="100" t="str">
        <f t="shared" si="3"/>
        <v>l.c</v>
      </c>
      <c r="C62" s="101" t="s">
        <v>318</v>
      </c>
      <c r="D62" s="102" t="s">
        <v>76</v>
      </c>
      <c r="E62" s="102">
        <v>1</v>
      </c>
      <c r="F62" s="91"/>
      <c r="G62" s="92"/>
      <c r="H62" s="92"/>
      <c r="I62" s="92"/>
      <c r="J62" s="92"/>
      <c r="K62" s="92"/>
      <c r="L62" s="92"/>
      <c r="M62" s="92"/>
      <c r="N62" s="92"/>
      <c r="O62" s="92"/>
      <c r="P62" s="92"/>
    </row>
    <row r="63" spans="1:16" ht="14.1">
      <c r="A63" s="100"/>
      <c r="B63" s="100"/>
      <c r="C63" s="101"/>
      <c r="D63" s="102"/>
      <c r="E63" s="102"/>
      <c r="F63" s="91"/>
      <c r="G63" s="92"/>
      <c r="H63" s="92"/>
      <c r="I63" s="92"/>
      <c r="J63" s="92"/>
      <c r="K63" s="92"/>
      <c r="L63" s="92"/>
      <c r="M63" s="92"/>
      <c r="N63" s="92"/>
      <c r="O63" s="92"/>
      <c r="P63" s="92"/>
    </row>
    <row r="64" spans="1:16" ht="15.6">
      <c r="A64" s="100"/>
      <c r="B64" s="100"/>
      <c r="C64" s="123" t="s">
        <v>319</v>
      </c>
      <c r="D64" s="129"/>
      <c r="E64" s="129"/>
      <c r="F64" s="91"/>
      <c r="G64" s="92"/>
      <c r="H64" s="92"/>
      <c r="I64" s="92"/>
      <c r="J64" s="92"/>
      <c r="K64" s="92"/>
      <c r="L64" s="92"/>
      <c r="M64" s="92"/>
      <c r="N64" s="92"/>
      <c r="O64" s="92"/>
      <c r="P64" s="92"/>
    </row>
    <row r="65" spans="1:16" ht="14.1">
      <c r="A65" s="100">
        <f>A62+1</f>
        <v>49</v>
      </c>
      <c r="B65" s="100" t="str">
        <f t="shared" si="3"/>
        <v>l.c</v>
      </c>
      <c r="C65" s="101" t="s">
        <v>320</v>
      </c>
      <c r="D65" s="102" t="s">
        <v>76</v>
      </c>
      <c r="E65" s="102">
        <v>1</v>
      </c>
      <c r="F65" s="91"/>
      <c r="G65" s="92"/>
      <c r="H65" s="92"/>
      <c r="I65" s="92"/>
      <c r="J65" s="92"/>
      <c r="K65" s="92"/>
      <c r="L65" s="92"/>
      <c r="M65" s="92"/>
      <c r="N65" s="92"/>
      <c r="O65" s="92"/>
      <c r="P65" s="92"/>
    </row>
    <row r="66" spans="1:16" ht="14.1">
      <c r="A66" s="100">
        <f t="shared" si="2"/>
        <v>50</v>
      </c>
      <c r="B66" s="100" t="str">
        <f t="shared" si="3"/>
        <v>l.c</v>
      </c>
      <c r="C66" s="101" t="s">
        <v>321</v>
      </c>
      <c r="D66" s="102" t="s">
        <v>76</v>
      </c>
      <c r="E66" s="102">
        <v>1</v>
      </c>
      <c r="F66" s="91"/>
      <c r="G66" s="92"/>
      <c r="H66" s="92"/>
      <c r="I66" s="92"/>
      <c r="J66" s="92"/>
      <c r="K66" s="92"/>
      <c r="L66" s="92"/>
      <c r="M66" s="92"/>
      <c r="N66" s="92"/>
      <c r="O66" s="92"/>
      <c r="P66" s="92"/>
    </row>
    <row r="67" spans="1:16" ht="14.1">
      <c r="A67" s="100">
        <f t="shared" si="2"/>
        <v>51</v>
      </c>
      <c r="B67" s="100" t="str">
        <f t="shared" si="3"/>
        <v>l.c</v>
      </c>
      <c r="C67" s="101" t="s">
        <v>322</v>
      </c>
      <c r="D67" s="102" t="s">
        <v>323</v>
      </c>
      <c r="E67" s="102">
        <v>1</v>
      </c>
      <c r="F67" s="91"/>
      <c r="G67" s="92"/>
      <c r="H67" s="92"/>
      <c r="I67" s="92"/>
      <c r="J67" s="92"/>
      <c r="K67" s="92"/>
      <c r="L67" s="92"/>
      <c r="M67" s="92"/>
      <c r="N67" s="92"/>
      <c r="O67" s="92"/>
      <c r="P67" s="92"/>
    </row>
    <row r="68" spans="1:16">
      <c r="A68" s="93"/>
      <c r="B68" s="227" t="s">
        <v>92</v>
      </c>
      <c r="C68" s="227"/>
      <c r="D68" s="227"/>
      <c r="E68" s="227"/>
      <c r="F68" s="227"/>
      <c r="G68" s="227"/>
      <c r="H68" s="227"/>
      <c r="I68" s="227"/>
      <c r="J68" s="227"/>
      <c r="K68" s="227"/>
      <c r="L68" s="94">
        <f>SUM(L15:L67)</f>
        <v>0</v>
      </c>
      <c r="M68" s="94">
        <f>SUM(M15:M67)</f>
        <v>0</v>
      </c>
      <c r="N68" s="94">
        <f>SUM(N15:N67)</f>
        <v>0</v>
      </c>
      <c r="O68" s="94">
        <f>SUM(O15:O67)</f>
        <v>0</v>
      </c>
      <c r="P68" s="94">
        <f>SUM(P15:P67)</f>
        <v>0</v>
      </c>
    </row>
    <row r="69" spans="1:16">
      <c r="A69" s="72"/>
      <c r="B69" s="72"/>
      <c r="C69" s="95"/>
      <c r="D69" s="72"/>
      <c r="E69" s="72"/>
      <c r="F69" s="72"/>
      <c r="G69" s="72"/>
      <c r="H69" s="72"/>
      <c r="I69" s="72"/>
      <c r="J69" s="72"/>
      <c r="K69" s="72"/>
      <c r="L69" s="72"/>
      <c r="M69" s="72"/>
      <c r="N69" s="72"/>
      <c r="O69" s="72"/>
    </row>
    <row r="70" spans="1:16">
      <c r="A70" s="72"/>
      <c r="B70" s="72"/>
      <c r="C70" s="95"/>
      <c r="D70" s="72"/>
      <c r="E70" s="72"/>
      <c r="F70" s="72"/>
      <c r="G70" s="72"/>
      <c r="H70" s="72"/>
      <c r="I70" s="72"/>
      <c r="J70" s="72"/>
      <c r="K70" s="72"/>
      <c r="L70" s="72"/>
      <c r="M70" s="72"/>
      <c r="N70" s="72"/>
      <c r="O70" s="72"/>
    </row>
    <row r="71" spans="1:16">
      <c r="A71" s="96" t="s">
        <v>9</v>
      </c>
      <c r="B71" s="73"/>
      <c r="C71" s="73"/>
      <c r="D71" s="73"/>
      <c r="E71" s="73"/>
      <c r="F71" s="96"/>
      <c r="G71" s="73"/>
      <c r="H71" s="73"/>
      <c r="I71" s="73"/>
      <c r="J71" s="73"/>
      <c r="K71" s="73"/>
      <c r="L71" s="97"/>
      <c r="M71" s="97"/>
      <c r="N71" s="97"/>
      <c r="O71" s="98"/>
    </row>
    <row r="72" spans="1:16">
      <c r="A72" s="96"/>
      <c r="B72" s="230" t="s">
        <v>10</v>
      </c>
      <c r="C72" s="230"/>
      <c r="D72" s="230"/>
      <c r="E72" s="230"/>
      <c r="F72" s="96"/>
      <c r="G72" s="231"/>
      <c r="H72" s="231"/>
      <c r="I72" s="231"/>
      <c r="J72" s="231"/>
      <c r="K72" s="231"/>
      <c r="L72" s="72"/>
      <c r="M72" s="72"/>
      <c r="N72" s="72"/>
      <c r="O72" s="72"/>
    </row>
    <row r="73" spans="1:16">
      <c r="A73" s="96"/>
      <c r="B73" s="197"/>
      <c r="C73" s="197"/>
      <c r="D73" s="197"/>
      <c r="E73" s="197"/>
      <c r="F73" s="96"/>
      <c r="G73" s="197"/>
      <c r="H73" s="197"/>
      <c r="I73" s="197"/>
      <c r="J73" s="197"/>
      <c r="K73" s="197"/>
      <c r="L73" s="72"/>
      <c r="M73" s="72"/>
      <c r="N73" s="72"/>
      <c r="O73" s="72"/>
    </row>
    <row r="74" spans="1:16">
      <c r="A74" s="1" t="str">
        <f>'1-1.DOP'!$A$42</f>
        <v>Tāme sastādīta: 2025.gada 20. oktobrī</v>
      </c>
      <c r="B74" s="99"/>
      <c r="C74" s="72"/>
      <c r="D74" s="72"/>
      <c r="E74" s="72"/>
      <c r="F74" s="72"/>
      <c r="G74" s="72"/>
      <c r="H74" s="72"/>
      <c r="I74" s="72"/>
      <c r="J74" s="72"/>
      <c r="K74" s="72"/>
      <c r="L74" s="72"/>
      <c r="M74" s="72"/>
      <c r="N74" s="72"/>
      <c r="O74" s="72"/>
    </row>
    <row r="75" spans="1:16">
      <c r="A75" s="195"/>
      <c r="B75" s="195"/>
      <c r="C75" s="72"/>
      <c r="D75" s="72"/>
      <c r="E75" s="72"/>
      <c r="F75" s="72"/>
      <c r="G75" s="72"/>
      <c r="H75" s="72"/>
      <c r="I75" s="72"/>
      <c r="J75" s="72"/>
      <c r="K75" s="72"/>
      <c r="L75" s="72"/>
      <c r="M75" s="72"/>
      <c r="N75" s="72"/>
      <c r="O75" s="72"/>
    </row>
    <row r="76" spans="1:16">
      <c r="A76" s="96" t="s">
        <v>93</v>
      </c>
      <c r="B76" s="73"/>
      <c r="C76" s="73"/>
      <c r="D76" s="73"/>
      <c r="E76" s="73"/>
      <c r="F76" s="97"/>
      <c r="G76" s="97"/>
      <c r="H76" s="97"/>
      <c r="I76" s="98"/>
      <c r="J76" s="72"/>
      <c r="K76" s="72"/>
      <c r="L76" s="72"/>
      <c r="M76" s="72"/>
      <c r="N76" s="72"/>
      <c r="O76" s="72"/>
    </row>
    <row r="77" spans="1:16">
      <c r="A77" s="96"/>
      <c r="B77" s="231" t="s">
        <v>10</v>
      </c>
      <c r="C77" s="231"/>
      <c r="D77" s="231"/>
      <c r="E77" s="231"/>
      <c r="F77" s="72"/>
      <c r="G77" s="72"/>
      <c r="H77" s="72"/>
      <c r="I77" s="72"/>
      <c r="J77" s="72"/>
      <c r="K77" s="72"/>
      <c r="L77" s="72"/>
      <c r="M77" s="72"/>
      <c r="N77" s="72"/>
      <c r="O77" s="72"/>
    </row>
    <row r="78" spans="1:16">
      <c r="A78" s="195"/>
      <c r="B78" s="195"/>
      <c r="C78" s="72"/>
      <c r="D78" s="72"/>
      <c r="E78" s="72"/>
      <c r="F78" s="72"/>
      <c r="G78" s="72"/>
      <c r="H78" s="72"/>
      <c r="I78" s="72"/>
      <c r="J78" s="72"/>
      <c r="K78" s="72"/>
      <c r="L78" s="72"/>
      <c r="M78" s="72"/>
      <c r="N78" s="72"/>
      <c r="O78" s="72"/>
    </row>
    <row r="79" spans="1:16">
      <c r="A79" s="96" t="s">
        <v>11</v>
      </c>
      <c r="B79" s="96"/>
      <c r="C79" s="195"/>
      <c r="D79" s="72"/>
      <c r="E79" s="72"/>
      <c r="F79" s="72"/>
      <c r="G79" s="72"/>
      <c r="H79" s="72"/>
      <c r="I79" s="72"/>
      <c r="J79" s="72"/>
      <c r="K79" s="72"/>
      <c r="L79" s="72"/>
      <c r="M79" s="72"/>
      <c r="N79" s="72"/>
      <c r="O79" s="72"/>
    </row>
    <row r="80" spans="1:16">
      <c r="A80" s="72"/>
      <c r="B80" s="72"/>
      <c r="C80" s="72"/>
      <c r="D80" s="72"/>
      <c r="E80" s="72"/>
      <c r="F80" s="72"/>
      <c r="G80" s="72"/>
      <c r="H80" s="72"/>
      <c r="I80" s="72"/>
      <c r="J80" s="72"/>
      <c r="K80" s="72"/>
      <c r="L80" s="72"/>
      <c r="M80" s="72"/>
      <c r="N80" s="72"/>
      <c r="O80" s="72"/>
    </row>
    <row r="81" spans="1:15">
      <c r="A81" s="72"/>
      <c r="B81" s="72"/>
      <c r="C81" s="72"/>
      <c r="D81" s="72"/>
      <c r="E81" s="72"/>
      <c r="F81" s="72"/>
      <c r="G81" s="72"/>
      <c r="H81" s="72"/>
      <c r="I81" s="72"/>
      <c r="J81" s="72"/>
      <c r="K81" s="72"/>
      <c r="L81" s="72"/>
      <c r="M81" s="72"/>
      <c r="N81" s="72"/>
      <c r="O81" s="72"/>
    </row>
    <row r="82" spans="1:15">
      <c r="A82" s="225" t="s">
        <v>13</v>
      </c>
      <c r="B82" s="225"/>
      <c r="C82" s="225"/>
      <c r="D82" s="225"/>
      <c r="E82" s="225"/>
      <c r="F82" s="225"/>
      <c r="G82" s="225"/>
      <c r="H82" s="225"/>
      <c r="I82" s="225"/>
      <c r="J82" s="225"/>
      <c r="K82" s="225"/>
      <c r="L82" s="225"/>
      <c r="M82" s="225"/>
      <c r="N82" s="225"/>
      <c r="O82" s="225"/>
    </row>
  </sheetData>
  <mergeCells count="18">
    <mergeCell ref="A7:E7"/>
    <mergeCell ref="A1:P1"/>
    <mergeCell ref="A2:P2"/>
    <mergeCell ref="A3:P3"/>
    <mergeCell ref="A5:E5"/>
    <mergeCell ref="A6:E6"/>
    <mergeCell ref="A82:O82"/>
    <mergeCell ref="L11:P11"/>
    <mergeCell ref="B68:K68"/>
    <mergeCell ref="A11:A12"/>
    <mergeCell ref="B11:B12"/>
    <mergeCell ref="C11:C12"/>
    <mergeCell ref="D11:D12"/>
    <mergeCell ref="E11:E12"/>
    <mergeCell ref="F11:K11"/>
    <mergeCell ref="B72:E72"/>
    <mergeCell ref="G72:K72"/>
    <mergeCell ref="B77:E77"/>
  </mergeCells>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16E4-57C2-42BC-A39F-2801F19063CB}">
  <dimension ref="A1:P66"/>
  <sheetViews>
    <sheetView showZeros="0" zoomScaleNormal="100" workbookViewId="0">
      <selection activeCell="E18" sqref="E18"/>
    </sheetView>
  </sheetViews>
  <sheetFormatPr defaultColWidth="8.85546875" defaultRowHeight="11.45"/>
  <cols>
    <col min="1" max="1" width="5.85546875" style="32" customWidth="1"/>
    <col min="2" max="2" width="5.85546875" style="58" customWidth="1"/>
    <col min="3" max="3" width="40.85546875" style="58" customWidth="1"/>
    <col min="4" max="5" width="8.85546875" style="58" customWidth="1"/>
    <col min="6" max="11" width="8.85546875" style="32" customWidth="1"/>
    <col min="12" max="16" width="11.85546875" style="32" customWidth="1"/>
    <col min="17" max="16384" width="8.85546875" style="32"/>
  </cols>
  <sheetData>
    <row r="1" spans="1:16">
      <c r="A1" s="210" t="s">
        <v>324</v>
      </c>
      <c r="B1" s="210"/>
      <c r="C1" s="210"/>
      <c r="D1" s="210"/>
      <c r="E1" s="210"/>
      <c r="F1" s="210"/>
      <c r="G1" s="210"/>
      <c r="H1" s="210"/>
      <c r="I1" s="210"/>
      <c r="J1" s="210"/>
      <c r="K1" s="210"/>
      <c r="L1" s="210"/>
      <c r="M1" s="210"/>
      <c r="N1" s="210"/>
      <c r="O1" s="210"/>
      <c r="P1" s="210"/>
    </row>
    <row r="2" spans="1:16">
      <c r="A2" s="210" t="s">
        <v>37</v>
      </c>
      <c r="B2" s="210"/>
      <c r="C2" s="210"/>
      <c r="D2" s="210"/>
      <c r="E2" s="210"/>
      <c r="F2" s="210"/>
      <c r="G2" s="210"/>
      <c r="H2" s="210"/>
      <c r="I2" s="210"/>
      <c r="J2" s="210"/>
      <c r="K2" s="210"/>
      <c r="L2" s="210"/>
      <c r="M2" s="210"/>
      <c r="N2" s="210"/>
      <c r="O2" s="210"/>
      <c r="P2" s="210"/>
    </row>
    <row r="3" spans="1:16">
      <c r="A3" s="203" t="s">
        <v>49</v>
      </c>
      <c r="B3" s="203"/>
      <c r="C3" s="203"/>
      <c r="D3" s="203"/>
      <c r="E3" s="203"/>
      <c r="F3" s="203"/>
      <c r="G3" s="203"/>
      <c r="H3" s="203"/>
      <c r="I3" s="203"/>
      <c r="J3" s="203"/>
      <c r="K3" s="203"/>
      <c r="L3" s="203"/>
      <c r="M3" s="203"/>
      <c r="N3" s="203"/>
      <c r="O3" s="203"/>
      <c r="P3" s="203"/>
    </row>
    <row r="4" spans="1:16">
      <c r="A4" s="55"/>
      <c r="B4" s="56"/>
      <c r="C4" s="56"/>
      <c r="D4" s="57"/>
      <c r="E4" s="57"/>
      <c r="F4" s="192"/>
      <c r="G4" s="192"/>
      <c r="H4" s="4"/>
      <c r="I4" s="192"/>
      <c r="J4" s="192"/>
      <c r="K4" s="192"/>
      <c r="L4" s="192"/>
      <c r="M4" s="192"/>
      <c r="N4" s="192"/>
      <c r="O4" s="192"/>
    </row>
    <row r="5" spans="1:16" ht="25.5" customHeight="1">
      <c r="A5" s="209" t="str">
        <f>Koptāme!$A$11</f>
        <v>Objekta nosaukums: Slaucamo govju kūts jaunbūve īpašumā
"Vecsašava"</v>
      </c>
      <c r="B5" s="209"/>
      <c r="C5" s="209"/>
      <c r="D5" s="209"/>
      <c r="E5" s="209"/>
      <c r="F5" s="209"/>
      <c r="G5" s="62"/>
      <c r="H5" s="62"/>
      <c r="I5" s="62"/>
      <c r="J5" s="62"/>
      <c r="K5" s="62"/>
      <c r="L5" s="62"/>
      <c r="M5" s="62"/>
      <c r="N5" s="62"/>
      <c r="O5" s="62"/>
    </row>
    <row r="6" spans="1:16" ht="25.5" customHeight="1">
      <c r="A6" s="209" t="str">
        <f>Koptāme!$A$12</f>
        <v>Objekta adrese: Īpašums "Vecsašava", Mālupes pagasts,
Alūksnes novads</v>
      </c>
      <c r="B6" s="209"/>
      <c r="C6" s="209"/>
      <c r="D6" s="209"/>
      <c r="E6" s="209"/>
      <c r="F6" s="209"/>
      <c r="G6" s="192"/>
      <c r="H6" s="4"/>
      <c r="I6" s="192"/>
      <c r="J6" s="192"/>
      <c r="K6" s="192"/>
      <c r="L6" s="192"/>
      <c r="M6" s="192"/>
      <c r="N6" s="192"/>
      <c r="O6" s="192"/>
    </row>
    <row r="7" spans="1:16" ht="14.25" customHeight="1">
      <c r="A7" s="209" t="str">
        <f>Koptāme!$A$13</f>
        <v>Pasūtītājs: Z/S "Jaunceriņi"</v>
      </c>
      <c r="B7" s="209"/>
      <c r="C7" s="209"/>
      <c r="D7" s="209"/>
      <c r="E7" s="209"/>
      <c r="F7" s="209"/>
      <c r="G7" s="192"/>
      <c r="H7" s="4"/>
      <c r="I7" s="192"/>
      <c r="J7" s="192"/>
      <c r="K7" s="192"/>
      <c r="L7" s="192"/>
      <c r="M7" s="192"/>
      <c r="N7" s="192"/>
      <c r="O7" s="192"/>
    </row>
    <row r="8" spans="1:16" ht="12">
      <c r="A8" s="57"/>
      <c r="B8" s="59"/>
      <c r="C8" s="57"/>
      <c r="D8" s="60"/>
      <c r="E8" s="60"/>
      <c r="F8" s="60"/>
      <c r="G8" s="60"/>
      <c r="H8" s="60"/>
      <c r="I8" s="60"/>
      <c r="J8" s="60"/>
      <c r="K8" s="60"/>
      <c r="L8" s="60"/>
      <c r="M8" s="60"/>
      <c r="N8" s="60"/>
      <c r="O8" s="63" t="s">
        <v>50</v>
      </c>
      <c r="P8" s="61">
        <f>P52</f>
        <v>0</v>
      </c>
    </row>
    <row r="9" spans="1:16" ht="12">
      <c r="A9" s="57"/>
      <c r="B9" s="59"/>
      <c r="C9" s="57"/>
      <c r="D9" s="60"/>
      <c r="E9" s="60"/>
      <c r="F9" s="60"/>
      <c r="G9" s="60"/>
      <c r="H9" s="60"/>
      <c r="I9" s="60"/>
      <c r="J9" s="60"/>
      <c r="K9" s="60"/>
      <c r="L9" s="60"/>
      <c r="M9" s="60"/>
      <c r="N9" s="26" t="str">
        <f>'1-1.DOP'!$N$9</f>
        <v>Tāme sastādīta: 2025.gada 20. oktobrī</v>
      </c>
      <c r="O9" s="69"/>
      <c r="P9" s="60"/>
    </row>
    <row r="11" spans="1:16" ht="12">
      <c r="A11" s="206" t="s">
        <v>51</v>
      </c>
      <c r="B11" s="207" t="s">
        <v>52</v>
      </c>
      <c r="C11" s="206" t="s">
        <v>53</v>
      </c>
      <c r="D11" s="206" t="s">
        <v>54</v>
      </c>
      <c r="E11" s="206" t="s">
        <v>55</v>
      </c>
      <c r="F11" s="204" t="s">
        <v>56</v>
      </c>
      <c r="G11" s="204"/>
      <c r="H11" s="204"/>
      <c r="I11" s="204"/>
      <c r="J11" s="204"/>
      <c r="K11" s="204"/>
      <c r="L11" s="204" t="s">
        <v>57</v>
      </c>
      <c r="M11" s="204"/>
      <c r="N11" s="204"/>
      <c r="O11" s="204"/>
      <c r="P11" s="204"/>
    </row>
    <row r="12" spans="1:16" ht="48">
      <c r="A12" s="206"/>
      <c r="B12" s="207"/>
      <c r="C12" s="206"/>
      <c r="D12" s="206"/>
      <c r="E12" s="206"/>
      <c r="F12" s="190" t="s">
        <v>58</v>
      </c>
      <c r="G12" s="190" t="s">
        <v>59</v>
      </c>
      <c r="H12" s="190" t="s">
        <v>60</v>
      </c>
      <c r="I12" s="190" t="s">
        <v>24</v>
      </c>
      <c r="J12" s="190" t="s">
        <v>61</v>
      </c>
      <c r="K12" s="190" t="s">
        <v>62</v>
      </c>
      <c r="L12" s="190" t="s">
        <v>63</v>
      </c>
      <c r="M12" s="190" t="s">
        <v>60</v>
      </c>
      <c r="N12" s="190" t="s">
        <v>24</v>
      </c>
      <c r="O12" s="190" t="s">
        <v>61</v>
      </c>
      <c r="P12" s="190" t="s">
        <v>64</v>
      </c>
    </row>
    <row r="13" spans="1:16" ht="12">
      <c r="A13" s="190">
        <v>1</v>
      </c>
      <c r="B13" s="190">
        <v>2</v>
      </c>
      <c r="C13" s="190">
        <f>B13+1</f>
        <v>3</v>
      </c>
      <c r="D13" s="190">
        <f t="shared" ref="D13:P13" si="0">C13+1</f>
        <v>4</v>
      </c>
      <c r="E13" s="190">
        <f t="shared" si="0"/>
        <v>5</v>
      </c>
      <c r="F13" s="190">
        <f>E13+1</f>
        <v>6</v>
      </c>
      <c r="G13" s="190">
        <f>F13+1</f>
        <v>7</v>
      </c>
      <c r="H13" s="190">
        <f t="shared" si="0"/>
        <v>8</v>
      </c>
      <c r="I13" s="190">
        <f t="shared" si="0"/>
        <v>9</v>
      </c>
      <c r="J13" s="190">
        <f t="shared" si="0"/>
        <v>10</v>
      </c>
      <c r="K13" s="190">
        <f t="shared" si="0"/>
        <v>11</v>
      </c>
      <c r="L13" s="190">
        <f t="shared" si="0"/>
        <v>12</v>
      </c>
      <c r="M13" s="190">
        <f t="shared" si="0"/>
        <v>13</v>
      </c>
      <c r="N13" s="190">
        <f t="shared" si="0"/>
        <v>14</v>
      </c>
      <c r="O13" s="190">
        <f t="shared" si="0"/>
        <v>15</v>
      </c>
      <c r="P13" s="190">
        <f t="shared" si="0"/>
        <v>16</v>
      </c>
    </row>
    <row r="14" spans="1:16" ht="12">
      <c r="A14" s="39"/>
      <c r="B14" s="40"/>
      <c r="C14" s="43" t="s">
        <v>37</v>
      </c>
      <c r="D14" s="64"/>
      <c r="E14" s="64"/>
      <c r="F14" s="39"/>
      <c r="G14" s="39"/>
      <c r="H14" s="39"/>
      <c r="I14" s="39"/>
      <c r="J14" s="39"/>
      <c r="K14" s="39"/>
      <c r="L14" s="39"/>
      <c r="M14" s="39"/>
      <c r="N14" s="39"/>
      <c r="O14" s="39"/>
      <c r="P14" s="39"/>
    </row>
    <row r="15" spans="1:16" ht="15.95" customHeight="1">
      <c r="A15" s="100">
        <f>IF(D15="","",COUNTIF(B$13:$B15,"l.c"))</f>
        <v>1</v>
      </c>
      <c r="B15" s="100" t="str">
        <f t="shared" ref="B15" si="1">IF(D15="","","l.c")</f>
        <v>l.c</v>
      </c>
      <c r="C15" s="141" t="s">
        <v>325</v>
      </c>
      <c r="D15" s="140" t="s">
        <v>113</v>
      </c>
      <c r="E15" s="140">
        <v>10</v>
      </c>
      <c r="F15" s="38"/>
      <c r="G15" s="38"/>
      <c r="H15" s="38"/>
      <c r="I15" s="38"/>
      <c r="J15" s="38"/>
      <c r="K15" s="38"/>
      <c r="L15" s="38"/>
      <c r="M15" s="38"/>
      <c r="N15" s="38"/>
      <c r="O15" s="38"/>
      <c r="P15" s="38"/>
    </row>
    <row r="16" spans="1:16" ht="14.1">
      <c r="A16" s="100">
        <f>IF(D16="","",COUNTIF(B$13:$B16,"l.c"))</f>
        <v>2</v>
      </c>
      <c r="B16" s="100" t="str">
        <f t="shared" ref="B16:B20" si="2">IF(D16="","","l.c")</f>
        <v>l.c</v>
      </c>
      <c r="C16" s="141" t="s">
        <v>326</v>
      </c>
      <c r="D16" s="140" t="s">
        <v>113</v>
      </c>
      <c r="E16" s="140">
        <v>50</v>
      </c>
      <c r="F16" s="38"/>
      <c r="G16" s="38"/>
      <c r="H16" s="38"/>
      <c r="I16" s="38"/>
      <c r="J16" s="38"/>
      <c r="K16" s="38"/>
      <c r="L16" s="38"/>
      <c r="M16" s="38"/>
      <c r="N16" s="38"/>
      <c r="O16" s="38"/>
      <c r="P16" s="38"/>
    </row>
    <row r="17" spans="1:16" ht="14.1">
      <c r="A17" s="100">
        <f>IF(D17="","",COUNTIF(B$13:$B17,"l.c"))</f>
        <v>3</v>
      </c>
      <c r="B17" s="100" t="str">
        <f t="shared" si="2"/>
        <v>l.c</v>
      </c>
      <c r="C17" s="141" t="s">
        <v>327</v>
      </c>
      <c r="D17" s="140" t="s">
        <v>68</v>
      </c>
      <c r="E17" s="140">
        <v>235</v>
      </c>
      <c r="F17" s="38"/>
      <c r="G17" s="38"/>
      <c r="H17" s="38"/>
      <c r="I17" s="38"/>
      <c r="J17" s="38"/>
      <c r="K17" s="38"/>
      <c r="L17" s="38"/>
      <c r="M17" s="38"/>
      <c r="N17" s="38"/>
      <c r="O17" s="38"/>
      <c r="P17" s="38"/>
    </row>
    <row r="18" spans="1:16" ht="14.1">
      <c r="A18" s="100">
        <f>IF(D18="","",COUNTIF(B$13:$B18,"l.c"))</f>
        <v>4</v>
      </c>
      <c r="B18" s="100" t="str">
        <f t="shared" si="2"/>
        <v>l.c</v>
      </c>
      <c r="C18" s="142" t="s">
        <v>328</v>
      </c>
      <c r="D18" s="140" t="s">
        <v>113</v>
      </c>
      <c r="E18" s="140">
        <v>230</v>
      </c>
      <c r="F18" s="38"/>
      <c r="G18" s="38"/>
      <c r="H18" s="38"/>
      <c r="I18" s="38"/>
      <c r="J18" s="38"/>
      <c r="K18" s="38"/>
      <c r="L18" s="38"/>
      <c r="M18" s="38"/>
      <c r="N18" s="38"/>
      <c r="O18" s="38"/>
      <c r="P18" s="38"/>
    </row>
    <row r="19" spans="1:16" ht="14.1">
      <c r="A19" s="100">
        <f>IF(D19="","",COUNTIF(B$13:$B19,"l.c"))</f>
        <v>5</v>
      </c>
      <c r="B19" s="100" t="str">
        <f t="shared" si="2"/>
        <v>l.c</v>
      </c>
      <c r="C19" s="141" t="s">
        <v>329</v>
      </c>
      <c r="D19" s="140" t="s">
        <v>113</v>
      </c>
      <c r="E19" s="140">
        <v>8</v>
      </c>
      <c r="F19" s="38"/>
      <c r="G19" s="38"/>
      <c r="H19" s="38"/>
      <c r="I19" s="38"/>
      <c r="J19" s="38"/>
      <c r="K19" s="38"/>
      <c r="L19" s="38"/>
      <c r="M19" s="38"/>
      <c r="N19" s="38"/>
      <c r="O19" s="38"/>
      <c r="P19" s="38"/>
    </row>
    <row r="20" spans="1:16" ht="14.1">
      <c r="A20" s="100">
        <f>IF(D20="","",COUNTIF(B$13:$B20,"l.c"))</f>
        <v>6</v>
      </c>
      <c r="B20" s="100" t="str">
        <f t="shared" si="2"/>
        <v>l.c</v>
      </c>
      <c r="C20" s="142" t="s">
        <v>330</v>
      </c>
      <c r="D20" s="140" t="s">
        <v>76</v>
      </c>
      <c r="E20" s="140">
        <v>8</v>
      </c>
      <c r="F20" s="38"/>
      <c r="G20" s="38"/>
      <c r="H20" s="38"/>
      <c r="I20" s="38"/>
      <c r="J20" s="38"/>
      <c r="K20" s="38"/>
      <c r="L20" s="38"/>
      <c r="M20" s="38"/>
      <c r="N20" s="38"/>
      <c r="O20" s="38"/>
      <c r="P20" s="38"/>
    </row>
    <row r="21" spans="1:16" ht="14.1">
      <c r="A21" s="100">
        <f>IF(D21="","",COUNTIF(B$13:$B21,"l.c"))</f>
        <v>7</v>
      </c>
      <c r="B21" s="100" t="str">
        <f t="shared" ref="B21:B50" si="3">IF(D21="","","l.c")</f>
        <v>l.c</v>
      </c>
      <c r="C21" s="142" t="s">
        <v>331</v>
      </c>
      <c r="D21" s="140" t="s">
        <v>76</v>
      </c>
      <c r="E21" s="140">
        <v>1</v>
      </c>
      <c r="F21" s="38"/>
      <c r="G21" s="38"/>
      <c r="H21" s="38"/>
      <c r="I21" s="38"/>
      <c r="J21" s="38"/>
      <c r="K21" s="38"/>
      <c r="L21" s="38"/>
      <c r="M21" s="38"/>
      <c r="N21" s="38"/>
      <c r="O21" s="38"/>
      <c r="P21" s="38"/>
    </row>
    <row r="22" spans="1:16" ht="14.1">
      <c r="A22" s="100">
        <f>IF(D22="","",COUNTIF(B$13:$B22,"l.c"))</f>
        <v>8</v>
      </c>
      <c r="B22" s="100" t="str">
        <f t="shared" si="3"/>
        <v>l.c</v>
      </c>
      <c r="C22" s="141" t="s">
        <v>312</v>
      </c>
      <c r="D22" s="140" t="s">
        <v>68</v>
      </c>
      <c r="E22" s="140">
        <v>200</v>
      </c>
      <c r="F22" s="38"/>
      <c r="G22" s="38"/>
      <c r="H22" s="38"/>
      <c r="I22" s="38"/>
      <c r="J22" s="38"/>
      <c r="K22" s="38"/>
      <c r="L22" s="38"/>
      <c r="M22" s="38"/>
      <c r="N22" s="38"/>
      <c r="O22" s="38"/>
      <c r="P22" s="38"/>
    </row>
    <row r="23" spans="1:16" ht="14.1">
      <c r="A23" s="100">
        <f>IF(D23="","",COUNTIF(B$13:$B23,"l.c"))</f>
        <v>9</v>
      </c>
      <c r="B23" s="100" t="str">
        <f t="shared" si="3"/>
        <v>l.c</v>
      </c>
      <c r="C23" s="141" t="s">
        <v>332</v>
      </c>
      <c r="D23" s="140" t="s">
        <v>113</v>
      </c>
      <c r="E23" s="140">
        <v>22</v>
      </c>
      <c r="F23" s="38"/>
      <c r="G23" s="38"/>
      <c r="H23" s="38"/>
      <c r="I23" s="38"/>
      <c r="J23" s="38"/>
      <c r="K23" s="38"/>
      <c r="L23" s="38"/>
      <c r="M23" s="38"/>
      <c r="N23" s="38"/>
      <c r="O23" s="38"/>
      <c r="P23" s="38"/>
    </row>
    <row r="24" spans="1:16" ht="14.1">
      <c r="A24" s="100">
        <f>IF(D24="","",COUNTIF(B$13:$B24,"l.c"))</f>
        <v>10</v>
      </c>
      <c r="B24" s="100" t="str">
        <f t="shared" si="3"/>
        <v>l.c</v>
      </c>
      <c r="C24" s="141" t="s">
        <v>333</v>
      </c>
      <c r="D24" s="140" t="s">
        <v>113</v>
      </c>
      <c r="E24" s="140">
        <v>22</v>
      </c>
      <c r="F24" s="38"/>
      <c r="G24" s="38"/>
      <c r="H24" s="38"/>
      <c r="I24" s="38"/>
      <c r="J24" s="38"/>
      <c r="K24" s="38"/>
      <c r="L24" s="38"/>
      <c r="M24" s="38"/>
      <c r="N24" s="38"/>
      <c r="O24" s="38"/>
      <c r="P24" s="38"/>
    </row>
    <row r="25" spans="1:16" ht="14.1">
      <c r="A25" s="100">
        <f>IF(D25="","",COUNTIF(B$13:$B25,"l.c"))</f>
        <v>11</v>
      </c>
      <c r="B25" s="100" t="str">
        <f t="shared" si="3"/>
        <v>l.c</v>
      </c>
      <c r="C25" s="141" t="s">
        <v>334</v>
      </c>
      <c r="D25" s="140" t="s">
        <v>113</v>
      </c>
      <c r="E25" s="140">
        <v>1</v>
      </c>
      <c r="F25" s="38"/>
      <c r="G25" s="38"/>
      <c r="H25" s="38"/>
      <c r="I25" s="38"/>
      <c r="J25" s="38"/>
      <c r="K25" s="38"/>
      <c r="L25" s="38"/>
      <c r="M25" s="38"/>
      <c r="N25" s="38"/>
      <c r="O25" s="38"/>
      <c r="P25" s="38"/>
    </row>
    <row r="26" spans="1:16" ht="14.1">
      <c r="A26" s="100">
        <f>IF(D26="","",COUNTIF(B$13:$B26,"l.c"))</f>
        <v>12</v>
      </c>
      <c r="B26" s="100" t="str">
        <f t="shared" si="3"/>
        <v>l.c</v>
      </c>
      <c r="C26" s="141" t="s">
        <v>335</v>
      </c>
      <c r="D26" s="140" t="s">
        <v>113</v>
      </c>
      <c r="E26" s="140">
        <v>22</v>
      </c>
      <c r="F26" s="38"/>
      <c r="G26" s="38"/>
      <c r="H26" s="38"/>
      <c r="I26" s="38"/>
      <c r="J26" s="38"/>
      <c r="K26" s="38"/>
      <c r="L26" s="38"/>
      <c r="M26" s="38"/>
      <c r="N26" s="38"/>
      <c r="O26" s="38"/>
      <c r="P26" s="38"/>
    </row>
    <row r="27" spans="1:16" ht="14.1">
      <c r="A27" s="100">
        <f>IF(D27="","",COUNTIF(B$13:$B27,"l.c"))</f>
        <v>13</v>
      </c>
      <c r="B27" s="100" t="str">
        <f t="shared" si="3"/>
        <v>l.c</v>
      </c>
      <c r="C27" s="141" t="s">
        <v>336</v>
      </c>
      <c r="D27" s="140" t="s">
        <v>68</v>
      </c>
      <c r="E27" s="140">
        <v>40</v>
      </c>
      <c r="F27" s="38"/>
      <c r="G27" s="38"/>
      <c r="H27" s="38"/>
      <c r="I27" s="38"/>
      <c r="J27" s="38"/>
      <c r="K27" s="38"/>
      <c r="L27" s="38"/>
      <c r="M27" s="38"/>
      <c r="N27" s="38"/>
      <c r="O27" s="38"/>
      <c r="P27" s="38"/>
    </row>
    <row r="28" spans="1:16" ht="14.1">
      <c r="A28" s="100">
        <f>IF(D28="","",COUNTIF(B$13:$B28,"l.c"))</f>
        <v>14</v>
      </c>
      <c r="B28" s="100" t="str">
        <f t="shared" si="3"/>
        <v>l.c</v>
      </c>
      <c r="C28" s="141" t="s">
        <v>337</v>
      </c>
      <c r="D28" s="140" t="s">
        <v>113</v>
      </c>
      <c r="E28" s="140">
        <v>23</v>
      </c>
      <c r="F28" s="38"/>
      <c r="G28" s="38"/>
      <c r="H28" s="38"/>
      <c r="I28" s="38"/>
      <c r="J28" s="38"/>
      <c r="K28" s="38"/>
      <c r="L28" s="38"/>
      <c r="M28" s="38"/>
      <c r="N28" s="38"/>
      <c r="O28" s="38"/>
      <c r="P28" s="38"/>
    </row>
    <row r="29" spans="1:16" ht="14.1">
      <c r="A29" s="100">
        <f>IF(D29="","",COUNTIF(B$13:$B29,"l.c"))</f>
        <v>15</v>
      </c>
      <c r="B29" s="100" t="str">
        <f t="shared" si="3"/>
        <v>l.c</v>
      </c>
      <c r="C29" s="141" t="s">
        <v>338</v>
      </c>
      <c r="D29" s="140" t="s">
        <v>113</v>
      </c>
      <c r="E29" s="140">
        <v>120</v>
      </c>
      <c r="F29" s="38"/>
      <c r="G29" s="38"/>
      <c r="H29" s="38"/>
      <c r="I29" s="38"/>
      <c r="J29" s="38"/>
      <c r="K29" s="38"/>
      <c r="L29" s="38"/>
      <c r="M29" s="38"/>
      <c r="N29" s="38"/>
      <c r="O29" s="38"/>
      <c r="P29" s="38"/>
    </row>
    <row r="30" spans="1:16" ht="14.1">
      <c r="A30" s="100">
        <f>IF(D30="","",COUNTIF(B$13:$B30,"l.c"))</f>
        <v>16</v>
      </c>
      <c r="B30" s="100" t="str">
        <f t="shared" si="3"/>
        <v>l.c</v>
      </c>
      <c r="C30" s="142" t="s">
        <v>339</v>
      </c>
      <c r="D30" s="140" t="s">
        <v>113</v>
      </c>
      <c r="E30" s="140">
        <v>6</v>
      </c>
      <c r="F30" s="38"/>
      <c r="G30" s="38"/>
      <c r="H30" s="38"/>
      <c r="I30" s="38"/>
      <c r="J30" s="38"/>
      <c r="K30" s="38"/>
      <c r="L30" s="38"/>
      <c r="M30" s="38"/>
      <c r="N30" s="38"/>
      <c r="O30" s="38"/>
      <c r="P30" s="38"/>
    </row>
    <row r="31" spans="1:16" ht="14.1">
      <c r="A31" s="100">
        <f>IF(D31="","",COUNTIF(B$13:$B31,"l.c"))</f>
        <v>17</v>
      </c>
      <c r="B31" s="100" t="str">
        <f t="shared" si="3"/>
        <v>l.c</v>
      </c>
      <c r="C31" s="142" t="s">
        <v>340</v>
      </c>
      <c r="D31" s="140" t="s">
        <v>68</v>
      </c>
      <c r="E31" s="140">
        <v>70</v>
      </c>
      <c r="F31" s="38"/>
      <c r="G31" s="38"/>
      <c r="H31" s="38"/>
      <c r="I31" s="38"/>
      <c r="J31" s="38"/>
      <c r="K31" s="38"/>
      <c r="L31" s="38"/>
      <c r="M31" s="38"/>
      <c r="N31" s="38"/>
      <c r="O31" s="38"/>
      <c r="P31" s="38"/>
    </row>
    <row r="32" spans="1:16" ht="14.1">
      <c r="A32" s="100">
        <f>IF(D32="","",COUNTIF(B$13:$B32,"l.c"))</f>
        <v>18</v>
      </c>
      <c r="B32" s="100" t="str">
        <f t="shared" si="3"/>
        <v>l.c</v>
      </c>
      <c r="C32" s="142" t="s">
        <v>341</v>
      </c>
      <c r="D32" s="140" t="s">
        <v>68</v>
      </c>
      <c r="E32" s="140">
        <v>35</v>
      </c>
      <c r="F32" s="38"/>
      <c r="G32" s="38"/>
      <c r="H32" s="38"/>
      <c r="I32" s="38"/>
      <c r="J32" s="38"/>
      <c r="K32" s="38"/>
      <c r="L32" s="38"/>
      <c r="M32" s="38"/>
      <c r="N32" s="38"/>
      <c r="O32" s="38"/>
      <c r="P32" s="38"/>
    </row>
    <row r="33" spans="1:16" ht="14.1">
      <c r="A33" s="100">
        <f>IF(D33="","",COUNTIF(B$13:$B33,"l.c"))</f>
        <v>19</v>
      </c>
      <c r="B33" s="100" t="str">
        <f t="shared" si="3"/>
        <v>l.c</v>
      </c>
      <c r="C33" s="142" t="s">
        <v>342</v>
      </c>
      <c r="D33" s="140" t="s">
        <v>113</v>
      </c>
      <c r="E33" s="140">
        <v>4</v>
      </c>
      <c r="F33" s="38"/>
      <c r="G33" s="38"/>
      <c r="H33" s="38"/>
      <c r="I33" s="38"/>
      <c r="J33" s="38"/>
      <c r="K33" s="38"/>
      <c r="L33" s="38"/>
      <c r="M33" s="38"/>
      <c r="N33" s="38"/>
      <c r="O33" s="38"/>
      <c r="P33" s="38"/>
    </row>
    <row r="34" spans="1:16" ht="14.1">
      <c r="A34" s="100">
        <f>IF(D34="","",COUNTIF(B$13:$B34,"l.c"))</f>
        <v>20</v>
      </c>
      <c r="B34" s="100" t="str">
        <f t="shared" si="3"/>
        <v>l.c</v>
      </c>
      <c r="C34" s="142" t="s">
        <v>343</v>
      </c>
      <c r="D34" s="140" t="s">
        <v>68</v>
      </c>
      <c r="E34" s="140">
        <v>35</v>
      </c>
      <c r="F34" s="38"/>
      <c r="G34" s="38"/>
      <c r="H34" s="38"/>
      <c r="I34" s="38"/>
      <c r="J34" s="38"/>
      <c r="K34" s="38"/>
      <c r="L34" s="38"/>
      <c r="M34" s="38"/>
      <c r="N34" s="38"/>
      <c r="O34" s="38"/>
      <c r="P34" s="38"/>
    </row>
    <row r="35" spans="1:16" ht="14.1">
      <c r="A35" s="100">
        <f>IF(D35="","",COUNTIF(B$13:$B35,"l.c"))</f>
        <v>21</v>
      </c>
      <c r="B35" s="100" t="str">
        <f t="shared" si="3"/>
        <v>l.c</v>
      </c>
      <c r="C35" s="142" t="s">
        <v>344</v>
      </c>
      <c r="D35" s="140" t="s">
        <v>68</v>
      </c>
      <c r="E35" s="140">
        <v>35</v>
      </c>
      <c r="F35" s="38"/>
      <c r="G35" s="38"/>
      <c r="H35" s="38"/>
      <c r="I35" s="38"/>
      <c r="J35" s="38"/>
      <c r="K35" s="38"/>
      <c r="L35" s="38"/>
      <c r="M35" s="38"/>
      <c r="N35" s="38"/>
      <c r="O35" s="38"/>
      <c r="P35" s="38"/>
    </row>
    <row r="36" spans="1:16" ht="14.1">
      <c r="A36" s="100">
        <f>IF(D36="","",COUNTIF(B$13:$B36,"l.c"))</f>
        <v>22</v>
      </c>
      <c r="B36" s="100" t="str">
        <f t="shared" si="3"/>
        <v>l.c</v>
      </c>
      <c r="C36" s="142" t="s">
        <v>345</v>
      </c>
      <c r="D36" s="140" t="s">
        <v>68</v>
      </c>
      <c r="E36" s="140">
        <v>35</v>
      </c>
      <c r="F36" s="38"/>
      <c r="G36" s="38"/>
      <c r="H36" s="38"/>
      <c r="I36" s="38"/>
      <c r="J36" s="38"/>
      <c r="K36" s="38"/>
      <c r="L36" s="38"/>
      <c r="M36" s="38"/>
      <c r="N36" s="38"/>
      <c r="O36" s="38"/>
      <c r="P36" s="38"/>
    </row>
    <row r="37" spans="1:16" ht="14.1">
      <c r="A37" s="100">
        <f>IF(D37="","",COUNTIF(B$13:$B37,"l.c"))</f>
        <v>23</v>
      </c>
      <c r="B37" s="100" t="str">
        <f t="shared" si="3"/>
        <v>l.c</v>
      </c>
      <c r="C37" s="142" t="s">
        <v>346</v>
      </c>
      <c r="D37" s="140" t="s">
        <v>68</v>
      </c>
      <c r="E37" s="140">
        <v>35</v>
      </c>
      <c r="F37" s="38"/>
      <c r="G37" s="38"/>
      <c r="H37" s="38"/>
      <c r="I37" s="38"/>
      <c r="J37" s="38"/>
      <c r="K37" s="38"/>
      <c r="L37" s="38"/>
      <c r="M37" s="38"/>
      <c r="N37" s="38"/>
      <c r="O37" s="38"/>
      <c r="P37" s="38"/>
    </row>
    <row r="38" spans="1:16" ht="14.1">
      <c r="A38" s="100">
        <f>IF(D38="","",COUNTIF(B$13:$B38,"l.c"))</f>
        <v>24</v>
      </c>
      <c r="B38" s="100" t="str">
        <f t="shared" si="3"/>
        <v>l.c</v>
      </c>
      <c r="C38" s="142" t="s">
        <v>347</v>
      </c>
      <c r="D38" s="140" t="s">
        <v>76</v>
      </c>
      <c r="E38" s="140">
        <v>1</v>
      </c>
      <c r="F38" s="38"/>
      <c r="G38" s="38"/>
      <c r="H38" s="38"/>
      <c r="I38" s="38"/>
      <c r="J38" s="38"/>
      <c r="K38" s="38"/>
      <c r="L38" s="38"/>
      <c r="M38" s="38"/>
      <c r="N38" s="38"/>
      <c r="O38" s="38"/>
      <c r="P38" s="38"/>
    </row>
    <row r="39" spans="1:16" ht="14.1">
      <c r="A39" s="100">
        <f>IF(D39="","",COUNTIF(B$13:$B39,"l.c"))</f>
        <v>25</v>
      </c>
      <c r="B39" s="100" t="str">
        <f t="shared" si="3"/>
        <v>l.c</v>
      </c>
      <c r="C39" s="142" t="s">
        <v>348</v>
      </c>
      <c r="D39" s="140" t="s">
        <v>113</v>
      </c>
      <c r="E39" s="140">
        <v>1</v>
      </c>
      <c r="F39" s="38"/>
      <c r="G39" s="38"/>
      <c r="H39" s="38"/>
      <c r="I39" s="38"/>
      <c r="J39" s="38"/>
      <c r="K39" s="38"/>
      <c r="L39" s="38"/>
      <c r="M39" s="38"/>
      <c r="N39" s="38"/>
      <c r="O39" s="38"/>
      <c r="P39" s="38"/>
    </row>
    <row r="40" spans="1:16" ht="14.1">
      <c r="A40" s="100">
        <f>IF(D40="","",COUNTIF(B$13:$B40,"l.c"))</f>
        <v>26</v>
      </c>
      <c r="B40" s="100" t="str">
        <f t="shared" si="3"/>
        <v>l.c</v>
      </c>
      <c r="C40" s="142" t="s">
        <v>349</v>
      </c>
      <c r="D40" s="140" t="s">
        <v>68</v>
      </c>
      <c r="E40" s="140">
        <v>40</v>
      </c>
      <c r="F40" s="38"/>
      <c r="G40" s="38"/>
      <c r="H40" s="38"/>
      <c r="I40" s="38"/>
      <c r="J40" s="38"/>
      <c r="K40" s="38"/>
      <c r="L40" s="38"/>
      <c r="M40" s="38"/>
      <c r="N40" s="38"/>
      <c r="O40" s="38"/>
      <c r="P40" s="38"/>
    </row>
    <row r="41" spans="1:16" ht="14.1">
      <c r="A41" s="100">
        <f>IF(D41="","",COUNTIF(B$13:$B41,"l.c"))</f>
        <v>27</v>
      </c>
      <c r="B41" s="100" t="str">
        <f t="shared" si="3"/>
        <v>l.c</v>
      </c>
      <c r="C41" s="142" t="s">
        <v>350</v>
      </c>
      <c r="D41" s="140" t="s">
        <v>68</v>
      </c>
      <c r="E41" s="140">
        <v>46</v>
      </c>
      <c r="F41" s="38"/>
      <c r="G41" s="38"/>
      <c r="H41" s="38"/>
      <c r="I41" s="38"/>
      <c r="J41" s="38"/>
      <c r="K41" s="38"/>
      <c r="L41" s="38"/>
      <c r="M41" s="38"/>
      <c r="N41" s="38"/>
      <c r="O41" s="38"/>
      <c r="P41" s="38"/>
    </row>
    <row r="42" spans="1:16" ht="14.1">
      <c r="A42" s="100">
        <f>IF(D42="","",COUNTIF(B$13:$B42,"l.c"))</f>
        <v>28</v>
      </c>
      <c r="B42" s="100" t="str">
        <f t="shared" si="3"/>
        <v>l.c</v>
      </c>
      <c r="C42" s="142" t="s">
        <v>311</v>
      </c>
      <c r="D42" s="140" t="s">
        <v>113</v>
      </c>
      <c r="E42" s="140">
        <v>1</v>
      </c>
      <c r="F42" s="38"/>
      <c r="G42" s="38"/>
      <c r="H42" s="38"/>
      <c r="I42" s="38"/>
      <c r="J42" s="38"/>
      <c r="K42" s="38"/>
      <c r="L42" s="38"/>
      <c r="M42" s="38"/>
      <c r="N42" s="38"/>
      <c r="O42" s="38"/>
      <c r="P42" s="38"/>
    </row>
    <row r="43" spans="1:16" ht="14.1">
      <c r="A43" s="100">
        <f>IF(D43="","",COUNTIF(B$13:$B43,"l.c"))</f>
        <v>29</v>
      </c>
      <c r="B43" s="100" t="str">
        <f t="shared" si="3"/>
        <v>l.c</v>
      </c>
      <c r="C43" s="142" t="s">
        <v>310</v>
      </c>
      <c r="D43" s="140" t="s">
        <v>113</v>
      </c>
      <c r="E43" s="140">
        <v>1</v>
      </c>
      <c r="F43" s="38"/>
      <c r="G43" s="38"/>
      <c r="H43" s="38"/>
      <c r="I43" s="38"/>
      <c r="J43" s="38"/>
      <c r="K43" s="38"/>
      <c r="L43" s="38"/>
      <c r="M43" s="38"/>
      <c r="N43" s="38"/>
      <c r="O43" s="38"/>
      <c r="P43" s="38"/>
    </row>
    <row r="44" spans="1:16" ht="14.1">
      <c r="A44" s="100">
        <f>IF(D44="","",COUNTIF(B$13:$B44,"l.c"))</f>
        <v>30</v>
      </c>
      <c r="B44" s="100" t="str">
        <f t="shared" si="3"/>
        <v>l.c</v>
      </c>
      <c r="C44" s="142" t="s">
        <v>351</v>
      </c>
      <c r="D44" s="140" t="s">
        <v>68</v>
      </c>
      <c r="E44" s="140">
        <v>165</v>
      </c>
      <c r="F44" s="38"/>
      <c r="G44" s="38"/>
      <c r="H44" s="38"/>
      <c r="I44" s="38"/>
      <c r="J44" s="38"/>
      <c r="K44" s="38"/>
      <c r="L44" s="38"/>
      <c r="M44" s="38"/>
      <c r="N44" s="38"/>
      <c r="O44" s="38"/>
      <c r="P44" s="38"/>
    </row>
    <row r="45" spans="1:16" ht="14.1">
      <c r="A45" s="100">
        <f>IF(D45="","",COUNTIF(B$13:$B45,"l.c"))</f>
        <v>31</v>
      </c>
      <c r="B45" s="100" t="str">
        <f t="shared" si="3"/>
        <v>l.c</v>
      </c>
      <c r="C45" s="142" t="s">
        <v>352</v>
      </c>
      <c r="D45" s="140" t="s">
        <v>98</v>
      </c>
      <c r="E45" s="140">
        <v>9</v>
      </c>
      <c r="F45" s="38"/>
      <c r="G45" s="38"/>
      <c r="H45" s="38"/>
      <c r="I45" s="38"/>
      <c r="J45" s="38"/>
      <c r="K45" s="38"/>
      <c r="L45" s="38"/>
      <c r="M45" s="38"/>
      <c r="N45" s="38"/>
      <c r="O45" s="38"/>
      <c r="P45" s="38"/>
    </row>
    <row r="46" spans="1:16" ht="14.1">
      <c r="A46" s="100">
        <f>IF(D46="","",COUNTIF(B$13:$B46,"l.c"))</f>
        <v>32</v>
      </c>
      <c r="B46" s="100" t="str">
        <f t="shared" si="3"/>
        <v>l.c</v>
      </c>
      <c r="C46" s="141" t="s">
        <v>353</v>
      </c>
      <c r="D46" s="140" t="s">
        <v>68</v>
      </c>
      <c r="E46" s="140">
        <v>91</v>
      </c>
      <c r="F46" s="38"/>
      <c r="G46" s="38"/>
      <c r="H46" s="38"/>
      <c r="I46" s="38"/>
      <c r="J46" s="38"/>
      <c r="K46" s="38"/>
      <c r="L46" s="38"/>
      <c r="M46" s="38"/>
      <c r="N46" s="38"/>
      <c r="O46" s="38"/>
      <c r="P46" s="38"/>
    </row>
    <row r="47" spans="1:16" ht="14.1">
      <c r="A47" s="100">
        <f>IF(D47="","",COUNTIF(B$13:$B47,"l.c"))</f>
        <v>33</v>
      </c>
      <c r="B47" s="100" t="str">
        <f t="shared" ref="B47" si="4">IF(D47="","","l.c")</f>
        <v>l.c</v>
      </c>
      <c r="C47" s="101" t="s">
        <v>318</v>
      </c>
      <c r="D47" s="102" t="s">
        <v>76</v>
      </c>
      <c r="E47" s="102">
        <v>1</v>
      </c>
      <c r="F47" s="38"/>
      <c r="G47" s="38"/>
      <c r="H47" s="38"/>
      <c r="I47" s="38"/>
      <c r="J47" s="38"/>
      <c r="K47" s="38"/>
      <c r="L47" s="38"/>
      <c r="M47" s="38"/>
      <c r="N47" s="38"/>
      <c r="O47" s="38"/>
      <c r="P47" s="38"/>
    </row>
    <row r="48" spans="1:16" ht="15.6">
      <c r="A48" s="100"/>
      <c r="B48" s="100"/>
      <c r="C48" s="108" t="s">
        <v>319</v>
      </c>
      <c r="D48" s="108"/>
      <c r="E48" s="108"/>
      <c r="F48" s="38"/>
      <c r="G48" s="38"/>
      <c r="H48" s="38"/>
      <c r="I48" s="38"/>
      <c r="J48" s="38"/>
      <c r="K48" s="38"/>
      <c r="L48" s="38"/>
      <c r="M48" s="38"/>
      <c r="N48" s="38"/>
      <c r="O48" s="38"/>
      <c r="P48" s="38"/>
    </row>
    <row r="49" spans="1:16" ht="14.1">
      <c r="A49" s="100">
        <f>IF(D49="","",COUNTIF(B$13:$B49,"l.c"))</f>
        <v>34</v>
      </c>
      <c r="B49" s="100" t="str">
        <f t="shared" si="3"/>
        <v>l.c</v>
      </c>
      <c r="C49" s="101" t="s">
        <v>354</v>
      </c>
      <c r="D49" s="102" t="s">
        <v>76</v>
      </c>
      <c r="E49" s="102">
        <v>1</v>
      </c>
      <c r="F49" s="38"/>
      <c r="G49" s="38"/>
      <c r="H49" s="38"/>
      <c r="I49" s="38"/>
      <c r="J49" s="38"/>
      <c r="K49" s="38"/>
      <c r="L49" s="38"/>
      <c r="M49" s="38"/>
      <c r="N49" s="38"/>
      <c r="O49" s="38"/>
      <c r="P49" s="38"/>
    </row>
    <row r="50" spans="1:16" ht="14.1">
      <c r="A50" s="100">
        <f>IF(D50="","",COUNTIF(B$13:$B50,"l.c"))</f>
        <v>35</v>
      </c>
      <c r="B50" s="100" t="str">
        <f t="shared" si="3"/>
        <v>l.c</v>
      </c>
      <c r="C50" s="101" t="s">
        <v>355</v>
      </c>
      <c r="D50" s="102" t="s">
        <v>76</v>
      </c>
      <c r="E50" s="102">
        <v>1</v>
      </c>
      <c r="F50" s="38"/>
      <c r="G50" s="38"/>
      <c r="H50" s="38"/>
      <c r="I50" s="38"/>
      <c r="J50" s="38"/>
      <c r="K50" s="38"/>
      <c r="L50" s="38"/>
      <c r="M50" s="38"/>
      <c r="N50" s="38"/>
      <c r="O50" s="38"/>
      <c r="P50" s="38"/>
    </row>
    <row r="51" spans="1:16">
      <c r="A51" s="40"/>
      <c r="B51" s="191"/>
      <c r="C51" s="45"/>
      <c r="D51" s="40"/>
      <c r="E51" s="40"/>
      <c r="F51" s="38"/>
      <c r="G51" s="38"/>
      <c r="H51" s="38"/>
      <c r="I51" s="38"/>
      <c r="J51" s="38"/>
      <c r="K51" s="38"/>
      <c r="L51" s="38"/>
      <c r="M51" s="38"/>
      <c r="N51" s="38"/>
      <c r="O51" s="38"/>
      <c r="P51" s="38"/>
    </row>
    <row r="52" spans="1:16">
      <c r="A52" s="46"/>
      <c r="B52" s="205" t="s">
        <v>92</v>
      </c>
      <c r="C52" s="205"/>
      <c r="D52" s="205"/>
      <c r="E52" s="205"/>
      <c r="F52" s="205"/>
      <c r="G52" s="205"/>
      <c r="H52" s="205"/>
      <c r="I52" s="205"/>
      <c r="J52" s="205"/>
      <c r="K52" s="205"/>
      <c r="L52" s="65">
        <f>SUM(L15:L51)</f>
        <v>0</v>
      </c>
      <c r="M52" s="65">
        <f>SUM(M15:M51)</f>
        <v>0</v>
      </c>
      <c r="N52" s="65">
        <f>SUM(N15:N51)</f>
        <v>0</v>
      </c>
      <c r="O52" s="65">
        <f>SUM(O15:O51)</f>
        <v>0</v>
      </c>
      <c r="P52" s="65">
        <f>SUM(P15:P51)</f>
        <v>0</v>
      </c>
    </row>
    <row r="53" spans="1:16">
      <c r="A53" s="27"/>
      <c r="B53" s="27"/>
      <c r="C53" s="28"/>
      <c r="D53" s="27"/>
      <c r="E53" s="27"/>
      <c r="F53" s="27"/>
      <c r="G53" s="27"/>
      <c r="H53" s="27"/>
      <c r="I53" s="27"/>
      <c r="J53" s="27"/>
      <c r="K53" s="27"/>
      <c r="L53" s="27"/>
      <c r="M53" s="27"/>
      <c r="N53" s="27"/>
      <c r="O53" s="27"/>
      <c r="P53" s="27"/>
    </row>
    <row r="54" spans="1:16">
      <c r="A54" s="27"/>
      <c r="B54" s="27"/>
      <c r="C54" s="28"/>
      <c r="D54" s="27"/>
      <c r="E54" s="27"/>
      <c r="F54" s="27"/>
      <c r="G54" s="27"/>
      <c r="H54" s="27"/>
      <c r="I54" s="27"/>
      <c r="J54" s="27"/>
      <c r="K54" s="27"/>
      <c r="L54" s="27"/>
      <c r="M54" s="27"/>
      <c r="N54" s="27"/>
      <c r="O54" s="27"/>
      <c r="P54" s="27"/>
    </row>
    <row r="55" spans="1:16">
      <c r="A55" s="22" t="s">
        <v>9</v>
      </c>
      <c r="B55" s="21"/>
      <c r="C55" s="21"/>
      <c r="D55" s="21"/>
      <c r="E55" s="21"/>
      <c r="F55" s="21"/>
      <c r="G55" s="22"/>
      <c r="H55" s="21"/>
      <c r="I55" s="21"/>
      <c r="J55" s="21"/>
      <c r="K55" s="21"/>
      <c r="L55" s="21"/>
      <c r="M55" s="29"/>
      <c r="N55" s="29"/>
      <c r="O55" s="29"/>
      <c r="P55" s="6"/>
    </row>
    <row r="56" spans="1:16">
      <c r="A56" s="22"/>
      <c r="B56" s="208" t="s">
        <v>10</v>
      </c>
      <c r="C56" s="208"/>
      <c r="D56" s="208"/>
      <c r="E56" s="208"/>
      <c r="F56" s="208"/>
      <c r="G56" s="22"/>
      <c r="H56" s="223"/>
      <c r="I56" s="223"/>
      <c r="J56" s="223"/>
      <c r="K56" s="223"/>
      <c r="L56" s="223"/>
      <c r="M56" s="27"/>
      <c r="N56" s="27"/>
      <c r="O56" s="27"/>
      <c r="P56" s="27"/>
    </row>
    <row r="57" spans="1:16">
      <c r="A57" s="22"/>
      <c r="B57" s="189"/>
      <c r="C57" s="189"/>
      <c r="D57" s="189"/>
      <c r="E57" s="189"/>
      <c r="F57" s="189"/>
      <c r="G57" s="22"/>
      <c r="H57" s="189"/>
      <c r="I57" s="189"/>
      <c r="J57" s="189"/>
      <c r="K57" s="189"/>
      <c r="L57" s="189"/>
      <c r="M57" s="27"/>
      <c r="N57" s="27"/>
      <c r="O57" s="27"/>
      <c r="P57" s="27"/>
    </row>
    <row r="58" spans="1:16">
      <c r="A58" s="1" t="str">
        <f>'1-1.DOP'!$A$42</f>
        <v>Tāme sastādīta: 2025.gada 20. oktobrī</v>
      </c>
      <c r="B58" s="1"/>
      <c r="C58" s="27"/>
      <c r="D58" s="27"/>
      <c r="E58" s="27"/>
      <c r="F58" s="27"/>
      <c r="G58" s="27"/>
      <c r="H58" s="27"/>
      <c r="I58" s="27"/>
      <c r="J58" s="27"/>
      <c r="K58" s="27"/>
      <c r="L58" s="27"/>
      <c r="M58" s="27"/>
      <c r="N58" s="27"/>
      <c r="O58" s="27"/>
      <c r="P58" s="27"/>
    </row>
    <row r="59" spans="1:16">
      <c r="A59" s="187"/>
      <c r="B59" s="187"/>
      <c r="C59" s="27"/>
      <c r="D59" s="27"/>
      <c r="E59" s="27"/>
      <c r="F59" s="27"/>
      <c r="G59" s="27"/>
      <c r="H59" s="27"/>
      <c r="I59" s="27"/>
      <c r="J59" s="27"/>
      <c r="K59" s="27"/>
      <c r="L59" s="27"/>
      <c r="M59" s="27"/>
      <c r="N59" s="27"/>
      <c r="O59" s="27"/>
      <c r="P59" s="27"/>
    </row>
    <row r="60" spans="1:16">
      <c r="A60" s="22" t="s">
        <v>93</v>
      </c>
      <c r="B60" s="21"/>
      <c r="C60" s="21"/>
      <c r="D60" s="21"/>
      <c r="E60" s="21"/>
      <c r="F60" s="21"/>
      <c r="G60" s="29"/>
      <c r="H60" s="29"/>
      <c r="I60" s="29"/>
      <c r="J60" s="6"/>
      <c r="K60" s="27"/>
      <c r="L60" s="27"/>
      <c r="M60" s="27"/>
      <c r="N60" s="27"/>
      <c r="O60" s="27"/>
      <c r="P60" s="27"/>
    </row>
    <row r="61" spans="1:16">
      <c r="A61" s="22"/>
      <c r="B61" s="223" t="s">
        <v>10</v>
      </c>
      <c r="C61" s="223"/>
      <c r="D61" s="223"/>
      <c r="E61" s="223"/>
      <c r="F61" s="223"/>
      <c r="G61" s="27"/>
      <c r="H61" s="27"/>
      <c r="I61" s="27"/>
      <c r="J61" s="27"/>
      <c r="K61" s="27"/>
      <c r="L61" s="27"/>
      <c r="M61" s="27"/>
      <c r="N61" s="27"/>
      <c r="O61" s="27"/>
      <c r="P61" s="27"/>
    </row>
    <row r="62" spans="1:16">
      <c r="A62" s="187"/>
      <c r="B62" s="187"/>
      <c r="C62" s="27"/>
      <c r="D62" s="27"/>
      <c r="E62" s="27"/>
      <c r="F62" s="27"/>
      <c r="G62" s="27"/>
      <c r="H62" s="27"/>
      <c r="I62" s="27"/>
      <c r="J62" s="27"/>
      <c r="K62" s="27"/>
      <c r="L62" s="27"/>
      <c r="M62" s="27"/>
      <c r="N62" s="27"/>
      <c r="O62" s="27"/>
      <c r="P62" s="27"/>
    </row>
    <row r="63" spans="1:16">
      <c r="A63" s="22" t="s">
        <v>11</v>
      </c>
      <c r="B63" s="22"/>
      <c r="C63" s="187"/>
      <c r="D63" s="27"/>
      <c r="E63" s="27"/>
      <c r="F63" s="27"/>
      <c r="G63" s="27"/>
      <c r="H63" s="27"/>
      <c r="I63" s="27"/>
      <c r="J63" s="27"/>
      <c r="K63" s="27"/>
      <c r="L63" s="27"/>
      <c r="M63" s="27"/>
      <c r="N63" s="27"/>
      <c r="O63" s="27"/>
      <c r="P63" s="27"/>
    </row>
    <row r="64" spans="1:16">
      <c r="A64" s="27"/>
      <c r="B64" s="27"/>
      <c r="C64" s="27"/>
      <c r="D64" s="27"/>
      <c r="E64" s="27"/>
      <c r="F64" s="27"/>
      <c r="G64" s="27"/>
      <c r="H64" s="27"/>
      <c r="I64" s="27"/>
      <c r="J64" s="27"/>
      <c r="K64" s="27"/>
      <c r="L64" s="27"/>
      <c r="M64" s="27"/>
      <c r="N64" s="27"/>
      <c r="O64" s="27"/>
      <c r="P64" s="27"/>
    </row>
    <row r="65" spans="1:16">
      <c r="A65" s="27"/>
      <c r="B65" s="27"/>
      <c r="C65" s="27"/>
      <c r="D65" s="27"/>
      <c r="E65" s="27"/>
      <c r="F65" s="27"/>
      <c r="G65" s="27"/>
      <c r="H65" s="27"/>
      <c r="I65" s="27"/>
      <c r="J65" s="27"/>
      <c r="K65" s="27"/>
      <c r="L65" s="27"/>
      <c r="M65" s="27"/>
      <c r="N65" s="27"/>
      <c r="O65" s="27"/>
      <c r="P65" s="27"/>
    </row>
    <row r="66" spans="1:16">
      <c r="A66" s="203" t="s">
        <v>13</v>
      </c>
      <c r="B66" s="203"/>
      <c r="C66" s="203"/>
      <c r="D66" s="203"/>
      <c r="E66" s="203"/>
      <c r="F66" s="203"/>
      <c r="G66" s="203"/>
      <c r="H66" s="203"/>
      <c r="I66" s="203"/>
      <c r="J66" s="203"/>
      <c r="K66" s="203"/>
      <c r="L66" s="203"/>
      <c r="M66" s="203"/>
      <c r="N66" s="203"/>
      <c r="O66" s="203"/>
      <c r="P66" s="203"/>
    </row>
  </sheetData>
  <mergeCells count="18">
    <mergeCell ref="A7:F7"/>
    <mergeCell ref="A1:P1"/>
    <mergeCell ref="A2:P2"/>
    <mergeCell ref="A3:P3"/>
    <mergeCell ref="A5:F5"/>
    <mergeCell ref="A6:F6"/>
    <mergeCell ref="B56:F56"/>
    <mergeCell ref="H56:L56"/>
    <mergeCell ref="B61:F61"/>
    <mergeCell ref="A66:P66"/>
    <mergeCell ref="F11:K11"/>
    <mergeCell ref="L11:P11"/>
    <mergeCell ref="B52:K52"/>
    <mergeCell ref="A11:A12"/>
    <mergeCell ref="B11:B12"/>
    <mergeCell ref="C11:C12"/>
    <mergeCell ref="D11:D12"/>
    <mergeCell ref="E11:E12"/>
  </mergeCells>
  <printOptions horizontalCentered="1"/>
  <pageMargins left="0.78740157480314965" right="0.39370078740157483" top="1.1811023622047245" bottom="0.3937007874015748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6C593-140E-4EBA-B8FD-05769EB39AD7}">
  <dimension ref="A1:Q90"/>
  <sheetViews>
    <sheetView showZeros="0" zoomScale="115" zoomScaleNormal="115" workbookViewId="0">
      <selection activeCell="E18" sqref="E18"/>
    </sheetView>
  </sheetViews>
  <sheetFormatPr defaultColWidth="8.85546875" defaultRowHeight="11.45"/>
  <cols>
    <col min="1" max="1" width="5.85546875" style="32" customWidth="1"/>
    <col min="2" max="2" width="5.85546875" style="58" customWidth="1"/>
    <col min="3" max="3" width="40.85546875" style="58" customWidth="1"/>
    <col min="4" max="5" width="8.85546875" style="58" customWidth="1"/>
    <col min="6" max="11" width="8.85546875" style="32" customWidth="1"/>
    <col min="12" max="16" width="11.85546875" style="32" customWidth="1"/>
    <col min="17" max="16384" width="8.85546875" style="32"/>
  </cols>
  <sheetData>
    <row r="1" spans="1:17">
      <c r="A1" s="210" t="s">
        <v>356</v>
      </c>
      <c r="B1" s="210"/>
      <c r="C1" s="210"/>
      <c r="D1" s="210"/>
      <c r="E1" s="210"/>
      <c r="F1" s="210"/>
      <c r="G1" s="210"/>
      <c r="H1" s="210"/>
      <c r="I1" s="210"/>
      <c r="J1" s="210"/>
      <c r="K1" s="210"/>
      <c r="L1" s="210"/>
      <c r="M1" s="210"/>
      <c r="N1" s="210"/>
      <c r="O1" s="210"/>
      <c r="P1" s="210"/>
      <c r="Q1" s="210"/>
    </row>
    <row r="2" spans="1:17">
      <c r="A2" s="210" t="s">
        <v>39</v>
      </c>
      <c r="B2" s="210"/>
      <c r="C2" s="210"/>
      <c r="D2" s="210"/>
      <c r="E2" s="210"/>
      <c r="F2" s="210"/>
      <c r="G2" s="210"/>
      <c r="H2" s="210"/>
      <c r="I2" s="210"/>
      <c r="J2" s="210"/>
      <c r="K2" s="210"/>
      <c r="L2" s="210"/>
      <c r="M2" s="210"/>
      <c r="N2" s="210"/>
      <c r="O2" s="210"/>
      <c r="P2" s="210"/>
      <c r="Q2" s="210"/>
    </row>
    <row r="3" spans="1:17">
      <c r="A3" s="203" t="s">
        <v>49</v>
      </c>
      <c r="B3" s="203"/>
      <c r="C3" s="203"/>
      <c r="D3" s="203"/>
      <c r="E3" s="203"/>
      <c r="F3" s="203"/>
      <c r="G3" s="203"/>
      <c r="H3" s="203"/>
      <c r="I3" s="203"/>
      <c r="J3" s="203"/>
      <c r="K3" s="203"/>
      <c r="L3" s="203"/>
      <c r="M3" s="203"/>
      <c r="N3" s="203"/>
      <c r="O3" s="203"/>
      <c r="P3" s="203"/>
    </row>
    <row r="4" spans="1:17">
      <c r="A4" s="55"/>
      <c r="B4" s="56"/>
      <c r="C4" s="56"/>
      <c r="D4" s="57"/>
      <c r="E4" s="57"/>
      <c r="F4" s="192"/>
      <c r="G4" s="192"/>
      <c r="H4" s="4"/>
      <c r="I4" s="192"/>
      <c r="J4" s="192"/>
      <c r="K4" s="192"/>
      <c r="L4" s="192"/>
      <c r="M4" s="192"/>
      <c r="N4" s="192"/>
      <c r="O4" s="192"/>
    </row>
    <row r="5" spans="1:17" ht="21" customHeight="1">
      <c r="A5" s="209" t="str">
        <f>Koptāme!$A$11</f>
        <v>Objekta nosaukums: Slaucamo govju kūts jaunbūve īpašumā
"Vecsašava"</v>
      </c>
      <c r="B5" s="209"/>
      <c r="C5" s="209"/>
      <c r="D5" s="209"/>
      <c r="E5" s="209"/>
      <c r="F5" s="209"/>
      <c r="G5" s="62"/>
      <c r="H5" s="62"/>
      <c r="I5" s="62"/>
      <c r="J5" s="62"/>
      <c r="K5" s="62"/>
      <c r="L5" s="62"/>
      <c r="M5" s="62"/>
      <c r="N5" s="62"/>
      <c r="O5" s="62"/>
    </row>
    <row r="6" spans="1:17" ht="21" customHeight="1">
      <c r="A6" s="209" t="str">
        <f>Koptāme!$A$12</f>
        <v>Objekta adrese: Īpašums "Vecsašava", Mālupes pagasts,
Alūksnes novads</v>
      </c>
      <c r="B6" s="209"/>
      <c r="C6" s="209"/>
      <c r="D6" s="209"/>
      <c r="E6" s="209"/>
      <c r="F6" s="209"/>
      <c r="G6" s="192"/>
      <c r="H6" s="4"/>
      <c r="I6" s="192"/>
      <c r="J6" s="192"/>
      <c r="K6" s="192"/>
      <c r="L6" s="192"/>
      <c r="M6" s="192"/>
      <c r="N6" s="192"/>
      <c r="O6" s="192"/>
    </row>
    <row r="7" spans="1:17" ht="14.25" customHeight="1">
      <c r="A7" s="209" t="str">
        <f>Koptāme!$A$13</f>
        <v>Pasūtītājs: Z/S "Jaunceriņi"</v>
      </c>
      <c r="B7" s="209"/>
      <c r="C7" s="209"/>
      <c r="D7" s="209"/>
      <c r="E7" s="209"/>
      <c r="F7" s="209"/>
      <c r="G7" s="192"/>
      <c r="H7" s="4"/>
      <c r="I7" s="192"/>
      <c r="J7" s="192"/>
      <c r="K7" s="192"/>
      <c r="L7" s="192"/>
      <c r="M7" s="192"/>
      <c r="N7" s="192"/>
      <c r="O7" s="192"/>
    </row>
    <row r="8" spans="1:17" ht="12">
      <c r="A8" s="57"/>
      <c r="B8" s="59"/>
      <c r="C8" s="57"/>
      <c r="D8" s="60"/>
      <c r="E8" s="60"/>
      <c r="F8" s="60"/>
      <c r="G8" s="60"/>
      <c r="H8" s="60"/>
      <c r="I8" s="60"/>
      <c r="J8" s="60"/>
      <c r="K8" s="60"/>
      <c r="L8" s="60"/>
      <c r="M8" s="60"/>
      <c r="N8" s="60"/>
      <c r="O8" s="63" t="s">
        <v>50</v>
      </c>
      <c r="P8" s="61">
        <f>P76</f>
        <v>0</v>
      </c>
    </row>
    <row r="9" spans="1:17" ht="12">
      <c r="A9" s="57"/>
      <c r="B9" s="59"/>
      <c r="C9" s="57"/>
      <c r="D9" s="60"/>
      <c r="E9" s="60"/>
      <c r="F9" s="60"/>
      <c r="G9" s="60"/>
      <c r="H9" s="60"/>
      <c r="I9" s="60"/>
      <c r="J9" s="60"/>
      <c r="K9" s="60"/>
      <c r="L9" s="60"/>
      <c r="M9" s="60"/>
      <c r="N9" s="26" t="str">
        <f>'1-1.DOP'!$N$9</f>
        <v>Tāme sastādīta: 2025.gada 20. oktobrī</v>
      </c>
      <c r="O9" s="69"/>
      <c r="P9" s="60"/>
    </row>
    <row r="11" spans="1:17" ht="12">
      <c r="A11" s="206" t="s">
        <v>51</v>
      </c>
      <c r="B11" s="207" t="s">
        <v>52</v>
      </c>
      <c r="C11" s="206" t="s">
        <v>53</v>
      </c>
      <c r="D11" s="206" t="s">
        <v>54</v>
      </c>
      <c r="E11" s="206" t="s">
        <v>55</v>
      </c>
      <c r="F11" s="204" t="s">
        <v>56</v>
      </c>
      <c r="G11" s="204"/>
      <c r="H11" s="204"/>
      <c r="I11" s="204"/>
      <c r="J11" s="204"/>
      <c r="K11" s="204"/>
      <c r="L11" s="204" t="s">
        <v>57</v>
      </c>
      <c r="M11" s="204"/>
      <c r="N11" s="204"/>
      <c r="O11" s="204"/>
      <c r="P11" s="204"/>
    </row>
    <row r="12" spans="1:17" ht="48">
      <c r="A12" s="206"/>
      <c r="B12" s="207"/>
      <c r="C12" s="206"/>
      <c r="D12" s="206"/>
      <c r="E12" s="206"/>
      <c r="F12" s="190" t="s">
        <v>58</v>
      </c>
      <c r="G12" s="190" t="s">
        <v>59</v>
      </c>
      <c r="H12" s="190" t="s">
        <v>60</v>
      </c>
      <c r="I12" s="190" t="s">
        <v>24</v>
      </c>
      <c r="J12" s="190" t="s">
        <v>61</v>
      </c>
      <c r="K12" s="190" t="s">
        <v>62</v>
      </c>
      <c r="L12" s="190" t="s">
        <v>63</v>
      </c>
      <c r="M12" s="190" t="s">
        <v>60</v>
      </c>
      <c r="N12" s="190" t="s">
        <v>24</v>
      </c>
      <c r="O12" s="190" t="s">
        <v>61</v>
      </c>
      <c r="P12" s="190" t="s">
        <v>64</v>
      </c>
    </row>
    <row r="13" spans="1:17" ht="12">
      <c r="A13" s="190">
        <v>1</v>
      </c>
      <c r="B13" s="190">
        <v>2</v>
      </c>
      <c r="C13" s="190">
        <v>3</v>
      </c>
      <c r="D13" s="190">
        <v>3</v>
      </c>
      <c r="E13" s="190">
        <v>3</v>
      </c>
      <c r="F13" s="190">
        <v>3</v>
      </c>
      <c r="G13" s="190">
        <v>3</v>
      </c>
      <c r="H13" s="190">
        <v>3</v>
      </c>
      <c r="I13" s="190">
        <v>3</v>
      </c>
      <c r="J13" s="190">
        <v>3</v>
      </c>
      <c r="K13" s="190">
        <v>3</v>
      </c>
      <c r="L13" s="190">
        <v>3</v>
      </c>
      <c r="M13" s="190">
        <v>3</v>
      </c>
      <c r="N13" s="190">
        <v>3</v>
      </c>
      <c r="O13" s="190">
        <v>3</v>
      </c>
      <c r="P13" s="190">
        <v>3</v>
      </c>
    </row>
    <row r="14" spans="1:17" ht="12.95">
      <c r="A14" s="40"/>
      <c r="B14" s="40"/>
      <c r="C14" s="104" t="s">
        <v>357</v>
      </c>
      <c r="D14" s="124"/>
      <c r="E14" s="124"/>
      <c r="F14" s="38"/>
      <c r="G14" s="38"/>
      <c r="H14" s="38"/>
      <c r="I14" s="38"/>
      <c r="J14" s="38"/>
      <c r="K14" s="38"/>
      <c r="L14" s="38"/>
      <c r="M14" s="38"/>
      <c r="N14" s="38"/>
      <c r="O14" s="38"/>
      <c r="P14" s="38"/>
    </row>
    <row r="15" spans="1:17" ht="26.1">
      <c r="A15" s="100">
        <f>IF(D15="","",COUNTIF(B$13:$B15,"l.c"))</f>
        <v>1</v>
      </c>
      <c r="B15" s="100" t="str">
        <f t="shared" ref="B15:B16" si="0">IF(D15="","","l.c")</f>
        <v>l.c</v>
      </c>
      <c r="C15" s="143" t="s">
        <v>358</v>
      </c>
      <c r="D15" s="144" t="s">
        <v>68</v>
      </c>
      <c r="E15" s="145">
        <v>68</v>
      </c>
      <c r="F15" s="36"/>
      <c r="G15" s="36"/>
      <c r="H15" s="36"/>
      <c r="I15" s="36"/>
      <c r="J15" s="36"/>
      <c r="K15" s="36"/>
      <c r="L15" s="36"/>
      <c r="M15" s="36"/>
      <c r="N15" s="36"/>
      <c r="O15" s="36"/>
      <c r="P15" s="36"/>
    </row>
    <row r="16" spans="1:17" ht="26.1">
      <c r="A16" s="100">
        <f>IF(D16="","",COUNTIF(B$13:$B16,"l.c"))</f>
        <v>2</v>
      </c>
      <c r="B16" s="100" t="str">
        <f t="shared" si="0"/>
        <v>l.c</v>
      </c>
      <c r="C16" s="143" t="s">
        <v>359</v>
      </c>
      <c r="D16" s="144" t="s">
        <v>68</v>
      </c>
      <c r="E16" s="145">
        <v>8</v>
      </c>
      <c r="F16" s="36"/>
      <c r="G16" s="36"/>
      <c r="H16" s="36"/>
      <c r="I16" s="36"/>
      <c r="J16" s="36"/>
      <c r="K16" s="36"/>
      <c r="L16" s="36"/>
      <c r="M16" s="36"/>
      <c r="N16" s="36"/>
      <c r="O16" s="36"/>
      <c r="P16" s="36"/>
    </row>
    <row r="17" spans="1:16" ht="39">
      <c r="A17" s="100">
        <f>IF(D17="","",COUNTIF(B$13:$B17,"l.c"))</f>
        <v>3</v>
      </c>
      <c r="B17" s="100" t="str">
        <f t="shared" ref="B17:B50" si="1">IF(D17="","","l.c")</f>
        <v>l.c</v>
      </c>
      <c r="C17" s="143" t="s">
        <v>360</v>
      </c>
      <c r="D17" s="144" t="s">
        <v>68</v>
      </c>
      <c r="E17" s="145">
        <v>70</v>
      </c>
      <c r="F17" s="36"/>
      <c r="G17" s="36"/>
      <c r="H17" s="36"/>
      <c r="I17" s="36"/>
      <c r="J17" s="36"/>
      <c r="K17" s="36"/>
      <c r="L17" s="36"/>
      <c r="M17" s="36"/>
      <c r="N17" s="36"/>
      <c r="O17" s="36"/>
      <c r="P17" s="36"/>
    </row>
    <row r="18" spans="1:16" ht="39">
      <c r="A18" s="100">
        <f>IF(D18="","",COUNTIF(B$13:$B18,"l.c"))</f>
        <v>4</v>
      </c>
      <c r="B18" s="100" t="str">
        <f t="shared" si="1"/>
        <v>l.c</v>
      </c>
      <c r="C18" s="143" t="s">
        <v>361</v>
      </c>
      <c r="D18" s="144" t="s">
        <v>68</v>
      </c>
      <c r="E18" s="145">
        <v>16</v>
      </c>
      <c r="F18" s="36"/>
      <c r="G18" s="36"/>
      <c r="H18" s="36"/>
      <c r="I18" s="36"/>
      <c r="J18" s="36"/>
      <c r="K18" s="36"/>
      <c r="L18" s="36"/>
      <c r="M18" s="36"/>
      <c r="N18" s="36"/>
      <c r="O18" s="36"/>
      <c r="P18" s="36"/>
    </row>
    <row r="19" spans="1:16" ht="39">
      <c r="A19" s="100">
        <f>IF(D19="","",COUNTIF(B$13:$B19,"l.c"))</f>
        <v>5</v>
      </c>
      <c r="B19" s="100" t="str">
        <f t="shared" si="1"/>
        <v>l.c</v>
      </c>
      <c r="C19" s="143" t="s">
        <v>362</v>
      </c>
      <c r="D19" s="144" t="s">
        <v>68</v>
      </c>
      <c r="E19" s="145">
        <v>4</v>
      </c>
      <c r="F19" s="36"/>
      <c r="G19" s="36"/>
      <c r="H19" s="36"/>
      <c r="I19" s="36"/>
      <c r="J19" s="36"/>
      <c r="K19" s="36"/>
      <c r="L19" s="36"/>
      <c r="M19" s="36"/>
      <c r="N19" s="36"/>
      <c r="O19" s="36"/>
      <c r="P19" s="36"/>
    </row>
    <row r="20" spans="1:16" ht="39">
      <c r="A20" s="100">
        <f>IF(D20="","",COUNTIF(B$13:$B20,"l.c"))</f>
        <v>6</v>
      </c>
      <c r="B20" s="100" t="str">
        <f t="shared" si="1"/>
        <v>l.c</v>
      </c>
      <c r="C20" s="143" t="s">
        <v>363</v>
      </c>
      <c r="D20" s="144" t="s">
        <v>68</v>
      </c>
      <c r="E20" s="145">
        <v>12</v>
      </c>
      <c r="F20" s="36"/>
      <c r="G20" s="36"/>
      <c r="H20" s="36"/>
      <c r="I20" s="36"/>
      <c r="J20" s="36"/>
      <c r="K20" s="36"/>
      <c r="L20" s="36"/>
      <c r="M20" s="36"/>
      <c r="N20" s="36"/>
      <c r="O20" s="36"/>
      <c r="P20" s="36"/>
    </row>
    <row r="21" spans="1:16" ht="26.1">
      <c r="A21" s="100">
        <f>IF(D21="","",COUNTIF(B$13:$B21,"l.c"))</f>
        <v>7</v>
      </c>
      <c r="B21" s="100" t="str">
        <f t="shared" si="1"/>
        <v>l.c</v>
      </c>
      <c r="C21" s="146" t="s">
        <v>364</v>
      </c>
      <c r="D21" s="147" t="s">
        <v>68</v>
      </c>
      <c r="E21" s="147" t="s">
        <v>365</v>
      </c>
      <c r="F21" s="36"/>
      <c r="G21" s="36"/>
      <c r="H21" s="36"/>
      <c r="I21" s="36"/>
      <c r="J21" s="36"/>
      <c r="K21" s="36"/>
      <c r="L21" s="36"/>
      <c r="M21" s="36"/>
      <c r="N21" s="36"/>
      <c r="O21" s="36"/>
      <c r="P21" s="36"/>
    </row>
    <row r="22" spans="1:16" ht="26.1">
      <c r="A22" s="100">
        <f>IF(D22="","",COUNTIF(B$13:$B22,"l.c"))</f>
        <v>8</v>
      </c>
      <c r="B22" s="100" t="str">
        <f t="shared" si="1"/>
        <v>l.c</v>
      </c>
      <c r="C22" s="146" t="s">
        <v>366</v>
      </c>
      <c r="D22" s="147" t="s">
        <v>68</v>
      </c>
      <c r="E22" s="147" t="s">
        <v>367</v>
      </c>
      <c r="F22" s="36"/>
      <c r="G22" s="36"/>
      <c r="H22" s="36"/>
      <c r="I22" s="36"/>
      <c r="J22" s="36"/>
      <c r="K22" s="36"/>
      <c r="L22" s="36"/>
      <c r="M22" s="36"/>
      <c r="N22" s="36"/>
      <c r="O22" s="36"/>
      <c r="P22" s="36"/>
    </row>
    <row r="23" spans="1:16" ht="26.1">
      <c r="A23" s="100">
        <f>IF(D23="","",COUNTIF(B$13:$B23,"l.c"))</f>
        <v>9</v>
      </c>
      <c r="B23" s="100" t="str">
        <f t="shared" si="1"/>
        <v>l.c</v>
      </c>
      <c r="C23" s="146" t="s">
        <v>368</v>
      </c>
      <c r="D23" s="147" t="s">
        <v>68</v>
      </c>
      <c r="E23" s="148">
        <v>2</v>
      </c>
      <c r="F23" s="36"/>
      <c r="G23" s="36"/>
      <c r="H23" s="36"/>
      <c r="I23" s="36"/>
      <c r="J23" s="36"/>
      <c r="K23" s="36"/>
      <c r="L23" s="36"/>
      <c r="M23" s="36"/>
      <c r="N23" s="36"/>
      <c r="O23" s="36"/>
      <c r="P23" s="36"/>
    </row>
    <row r="24" spans="1:16" ht="26.1">
      <c r="A24" s="100">
        <f>IF(D24="","",COUNTIF(B$13:$B24,"l.c"))</f>
        <v>10</v>
      </c>
      <c r="B24" s="100" t="str">
        <f t="shared" si="1"/>
        <v>l.c</v>
      </c>
      <c r="C24" s="146" t="s">
        <v>369</v>
      </c>
      <c r="D24" s="147" t="s">
        <v>68</v>
      </c>
      <c r="E24" s="147" t="s">
        <v>370</v>
      </c>
      <c r="F24" s="36"/>
      <c r="G24" s="36"/>
      <c r="H24" s="36"/>
      <c r="I24" s="36"/>
      <c r="J24" s="36"/>
      <c r="K24" s="36"/>
      <c r="L24" s="36"/>
      <c r="M24" s="36"/>
      <c r="N24" s="36"/>
      <c r="O24" s="36"/>
      <c r="P24" s="36"/>
    </row>
    <row r="25" spans="1:16" ht="26.1">
      <c r="A25" s="100">
        <f>IF(D25="","",COUNTIF(B$13:$B25,"l.c"))</f>
        <v>11</v>
      </c>
      <c r="B25" s="100" t="str">
        <f t="shared" si="1"/>
        <v>l.c</v>
      </c>
      <c r="C25" s="149" t="s">
        <v>371</v>
      </c>
      <c r="D25" s="144" t="s">
        <v>68</v>
      </c>
      <c r="E25" s="150">
        <v>14</v>
      </c>
      <c r="F25" s="36"/>
      <c r="G25" s="36"/>
      <c r="H25" s="36"/>
      <c r="I25" s="36"/>
      <c r="J25" s="36"/>
      <c r="K25" s="36"/>
      <c r="L25" s="36"/>
      <c r="M25" s="36"/>
      <c r="N25" s="36"/>
      <c r="O25" s="36"/>
      <c r="P25" s="36"/>
    </row>
    <row r="26" spans="1:16" ht="26.1">
      <c r="A26" s="100">
        <f>IF(D26="","",COUNTIF(B$13:$B26,"l.c"))</f>
        <v>12</v>
      </c>
      <c r="B26" s="100" t="str">
        <f t="shared" si="1"/>
        <v>l.c</v>
      </c>
      <c r="C26" s="149" t="s">
        <v>372</v>
      </c>
      <c r="D26" s="144" t="s">
        <v>68</v>
      </c>
      <c r="E26" s="150">
        <v>10</v>
      </c>
      <c r="F26" s="36"/>
      <c r="G26" s="36"/>
      <c r="H26" s="36"/>
      <c r="I26" s="36"/>
      <c r="J26" s="36"/>
      <c r="K26" s="36"/>
      <c r="L26" s="36"/>
      <c r="M26" s="36"/>
      <c r="N26" s="36"/>
      <c r="O26" s="36"/>
      <c r="P26" s="36"/>
    </row>
    <row r="27" spans="1:16" ht="26.1">
      <c r="A27" s="100">
        <f>IF(D27="","",COUNTIF(B$13:$B27,"l.c"))</f>
        <v>13</v>
      </c>
      <c r="B27" s="100" t="str">
        <f t="shared" si="1"/>
        <v>l.c</v>
      </c>
      <c r="C27" s="149" t="s">
        <v>373</v>
      </c>
      <c r="D27" s="144" t="s">
        <v>68</v>
      </c>
      <c r="E27" s="150">
        <v>2</v>
      </c>
      <c r="F27" s="36"/>
      <c r="G27" s="36"/>
      <c r="H27" s="36"/>
      <c r="I27" s="36"/>
      <c r="J27" s="36"/>
      <c r="K27" s="36"/>
      <c r="L27" s="36"/>
      <c r="M27" s="36"/>
      <c r="N27" s="36"/>
      <c r="O27" s="36"/>
      <c r="P27" s="36"/>
    </row>
    <row r="28" spans="1:16" ht="26.1">
      <c r="A28" s="100">
        <f>IF(D28="","",COUNTIF(B$13:$B28,"l.c"))</f>
        <v>14</v>
      </c>
      <c r="B28" s="100" t="str">
        <f t="shared" si="1"/>
        <v>l.c</v>
      </c>
      <c r="C28" s="149" t="s">
        <v>374</v>
      </c>
      <c r="D28" s="144" t="s">
        <v>68</v>
      </c>
      <c r="E28" s="145">
        <v>9</v>
      </c>
      <c r="F28" s="36"/>
      <c r="G28" s="36"/>
      <c r="H28" s="36"/>
      <c r="I28" s="36"/>
      <c r="J28" s="36"/>
      <c r="K28" s="36"/>
      <c r="L28" s="36"/>
      <c r="M28" s="36"/>
      <c r="N28" s="36"/>
      <c r="O28" s="36"/>
      <c r="P28" s="36"/>
    </row>
    <row r="29" spans="1:16" ht="26.1">
      <c r="A29" s="100">
        <f>IF(D29="","",COUNTIF(B$13:$B29,"l.c"))</f>
        <v>15</v>
      </c>
      <c r="B29" s="100" t="str">
        <f t="shared" si="1"/>
        <v>l.c</v>
      </c>
      <c r="C29" s="149" t="s">
        <v>375</v>
      </c>
      <c r="D29" s="144" t="s">
        <v>68</v>
      </c>
      <c r="E29" s="145">
        <v>14.3</v>
      </c>
      <c r="F29" s="36"/>
      <c r="G29" s="36"/>
      <c r="H29" s="36"/>
      <c r="I29" s="36"/>
      <c r="J29" s="36"/>
      <c r="K29" s="36"/>
      <c r="L29" s="36"/>
      <c r="M29" s="36"/>
      <c r="N29" s="36"/>
      <c r="O29" s="36"/>
      <c r="P29" s="36"/>
    </row>
    <row r="30" spans="1:16" ht="26.1">
      <c r="A30" s="100">
        <f>IF(D30="","",COUNTIF(B$13:$B30,"l.c"))</f>
        <v>16</v>
      </c>
      <c r="B30" s="100" t="str">
        <f t="shared" si="1"/>
        <v>l.c</v>
      </c>
      <c r="C30" s="149" t="s">
        <v>376</v>
      </c>
      <c r="D30" s="144" t="s">
        <v>68</v>
      </c>
      <c r="E30" s="145">
        <v>16.600000000000001</v>
      </c>
      <c r="F30" s="36"/>
      <c r="G30" s="36"/>
      <c r="H30" s="36"/>
      <c r="I30" s="36"/>
      <c r="J30" s="36"/>
      <c r="K30" s="36"/>
      <c r="L30" s="36"/>
      <c r="M30" s="36"/>
      <c r="N30" s="36"/>
      <c r="O30" s="36"/>
      <c r="P30" s="36"/>
    </row>
    <row r="31" spans="1:16" ht="26.1">
      <c r="A31" s="100">
        <f>IF(D31="","",COUNTIF(B$13:$B31,"l.c"))</f>
        <v>17</v>
      </c>
      <c r="B31" s="100" t="str">
        <f t="shared" si="1"/>
        <v>l.c</v>
      </c>
      <c r="C31" s="151" t="s">
        <v>377</v>
      </c>
      <c r="D31" s="152" t="s">
        <v>378</v>
      </c>
      <c r="E31" s="145">
        <v>1</v>
      </c>
      <c r="F31" s="36"/>
      <c r="G31" s="36"/>
      <c r="H31" s="36"/>
      <c r="I31" s="36"/>
      <c r="J31" s="36"/>
      <c r="K31" s="36"/>
      <c r="L31" s="36"/>
      <c r="M31" s="36"/>
      <c r="N31" s="36"/>
      <c r="O31" s="36"/>
      <c r="P31" s="36"/>
    </row>
    <row r="32" spans="1:16" ht="39">
      <c r="A32" s="100">
        <f>IF(D32="","",COUNTIF(B$13:$B32,"l.c"))</f>
        <v>18</v>
      </c>
      <c r="B32" s="100" t="str">
        <f t="shared" si="1"/>
        <v>l.c</v>
      </c>
      <c r="C32" s="151" t="s">
        <v>379</v>
      </c>
      <c r="D32" s="152" t="s">
        <v>378</v>
      </c>
      <c r="E32" s="145">
        <v>2</v>
      </c>
      <c r="F32" s="36"/>
      <c r="G32" s="36"/>
      <c r="H32" s="36"/>
      <c r="I32" s="36"/>
      <c r="J32" s="36"/>
      <c r="K32" s="36"/>
      <c r="L32" s="36"/>
      <c r="M32" s="36"/>
      <c r="N32" s="36"/>
      <c r="O32" s="36"/>
      <c r="P32" s="36"/>
    </row>
    <row r="33" spans="1:16" ht="39">
      <c r="A33" s="100">
        <f>IF(D33="","",COUNTIF(B$13:$B33,"l.c"))</f>
        <v>19</v>
      </c>
      <c r="B33" s="100" t="str">
        <f t="shared" si="1"/>
        <v>l.c</v>
      </c>
      <c r="C33" s="153" t="s">
        <v>380</v>
      </c>
      <c r="D33" s="154" t="s">
        <v>76</v>
      </c>
      <c r="E33" s="155">
        <v>1</v>
      </c>
      <c r="F33" s="36"/>
      <c r="G33" s="36"/>
      <c r="H33" s="36"/>
      <c r="I33" s="36"/>
      <c r="J33" s="36"/>
      <c r="K33" s="36"/>
      <c r="L33" s="36"/>
      <c r="M33" s="36"/>
      <c r="N33" s="36"/>
      <c r="O33" s="36"/>
      <c r="P33" s="36"/>
    </row>
    <row r="34" spans="1:16" ht="39">
      <c r="A34" s="100">
        <f>IF(D34="","",COUNTIF(B$13:$B34,"l.c"))</f>
        <v>20</v>
      </c>
      <c r="B34" s="100" t="str">
        <f t="shared" si="1"/>
        <v>l.c</v>
      </c>
      <c r="C34" s="153" t="s">
        <v>381</v>
      </c>
      <c r="D34" s="154" t="s">
        <v>76</v>
      </c>
      <c r="E34" s="155">
        <v>1</v>
      </c>
      <c r="F34" s="36"/>
      <c r="G34" s="36"/>
      <c r="H34" s="36"/>
      <c r="I34" s="36"/>
      <c r="J34" s="36"/>
      <c r="K34" s="36"/>
      <c r="L34" s="36"/>
      <c r="M34" s="36"/>
      <c r="N34" s="36"/>
      <c r="O34" s="36"/>
      <c r="P34" s="36"/>
    </row>
    <row r="35" spans="1:16" ht="26.1">
      <c r="A35" s="100">
        <f>IF(D35="","",COUNTIF(B$13:$B35,"l.c"))</f>
        <v>21</v>
      </c>
      <c r="B35" s="100" t="str">
        <f t="shared" si="1"/>
        <v>l.c</v>
      </c>
      <c r="C35" s="153" t="s">
        <v>382</v>
      </c>
      <c r="D35" s="154" t="s">
        <v>113</v>
      </c>
      <c r="E35" s="155">
        <v>3</v>
      </c>
      <c r="F35" s="36"/>
      <c r="G35" s="36"/>
      <c r="H35" s="36"/>
      <c r="I35" s="36"/>
      <c r="J35" s="36"/>
      <c r="K35" s="36"/>
      <c r="L35" s="36"/>
      <c r="M35" s="36"/>
      <c r="N35" s="36"/>
      <c r="O35" s="36"/>
      <c r="P35" s="36"/>
    </row>
    <row r="36" spans="1:16" ht="12.95">
      <c r="A36" s="100">
        <f>IF(D36="","",COUNTIF(B$13:$B36,"l.c"))</f>
        <v>22</v>
      </c>
      <c r="B36" s="100" t="str">
        <f t="shared" si="1"/>
        <v>l.c</v>
      </c>
      <c r="C36" s="153" t="s">
        <v>383</v>
      </c>
      <c r="D36" s="154" t="s">
        <v>113</v>
      </c>
      <c r="E36" s="155">
        <v>1</v>
      </c>
      <c r="F36" s="36"/>
      <c r="G36" s="36"/>
      <c r="H36" s="36"/>
      <c r="I36" s="36"/>
      <c r="J36" s="36"/>
      <c r="K36" s="36"/>
      <c r="L36" s="36"/>
      <c r="M36" s="36"/>
      <c r="N36" s="36"/>
      <c r="O36" s="36"/>
      <c r="P36" s="36"/>
    </row>
    <row r="37" spans="1:16" ht="12.95">
      <c r="A37" s="100">
        <f>IF(D37="","",COUNTIF(B$13:$B37,"l.c"))</f>
        <v>23</v>
      </c>
      <c r="B37" s="100" t="str">
        <f t="shared" si="1"/>
        <v>l.c</v>
      </c>
      <c r="C37" s="156" t="s">
        <v>384</v>
      </c>
      <c r="D37" s="147" t="s">
        <v>113</v>
      </c>
      <c r="E37" s="147" t="s">
        <v>385</v>
      </c>
      <c r="F37" s="36"/>
      <c r="G37" s="36"/>
      <c r="H37" s="36"/>
      <c r="I37" s="36"/>
      <c r="J37" s="36"/>
      <c r="K37" s="36"/>
      <c r="L37" s="36"/>
      <c r="M37" s="36"/>
      <c r="N37" s="36"/>
      <c r="O37" s="36"/>
      <c r="P37" s="36"/>
    </row>
    <row r="38" spans="1:16" ht="12.95">
      <c r="A38" s="100">
        <f>IF(D38="","",COUNTIF(B$13:$B38,"l.c"))</f>
        <v>24</v>
      </c>
      <c r="B38" s="100" t="str">
        <f t="shared" si="1"/>
        <v>l.c</v>
      </c>
      <c r="C38" s="156" t="s">
        <v>386</v>
      </c>
      <c r="D38" s="147" t="s">
        <v>113</v>
      </c>
      <c r="E38" s="147" t="s">
        <v>387</v>
      </c>
      <c r="F38" s="36"/>
      <c r="G38" s="36"/>
      <c r="H38" s="36"/>
      <c r="I38" s="36"/>
      <c r="J38" s="36"/>
      <c r="K38" s="36"/>
      <c r="L38" s="36"/>
      <c r="M38" s="36"/>
      <c r="N38" s="36"/>
      <c r="O38" s="36"/>
      <c r="P38" s="36"/>
    </row>
    <row r="39" spans="1:16" ht="12.95">
      <c r="A39" s="100">
        <f>IF(D39="","",COUNTIF(B$13:$B39,"l.c"))</f>
        <v>25</v>
      </c>
      <c r="B39" s="100" t="str">
        <f t="shared" si="1"/>
        <v>l.c</v>
      </c>
      <c r="C39" s="156" t="s">
        <v>388</v>
      </c>
      <c r="D39" s="147" t="s">
        <v>113</v>
      </c>
      <c r="E39" s="147" t="s">
        <v>389</v>
      </c>
      <c r="F39" s="36"/>
      <c r="G39" s="36"/>
      <c r="H39" s="36"/>
      <c r="I39" s="36"/>
      <c r="J39" s="36"/>
      <c r="K39" s="36"/>
      <c r="L39" s="36"/>
      <c r="M39" s="36"/>
      <c r="N39" s="36"/>
      <c r="O39" s="36"/>
      <c r="P39" s="36"/>
    </row>
    <row r="40" spans="1:16" ht="12.95">
      <c r="A40" s="100">
        <f>IF(D40="","",COUNTIF(B$13:$B40,"l.c"))</f>
        <v>26</v>
      </c>
      <c r="B40" s="100" t="str">
        <f t="shared" si="1"/>
        <v>l.c</v>
      </c>
      <c r="C40" s="146" t="s">
        <v>390</v>
      </c>
      <c r="D40" s="154" t="s">
        <v>113</v>
      </c>
      <c r="E40" s="147" t="s">
        <v>391</v>
      </c>
      <c r="F40" s="36"/>
      <c r="G40" s="36"/>
      <c r="H40" s="36"/>
      <c r="I40" s="36"/>
      <c r="J40" s="36"/>
      <c r="K40" s="36"/>
      <c r="L40" s="36"/>
      <c r="M40" s="36"/>
      <c r="N40" s="36"/>
      <c r="O40" s="36"/>
      <c r="P40" s="36"/>
    </row>
    <row r="41" spans="1:16" ht="12.95">
      <c r="A41" s="100">
        <f>IF(D41="","",COUNTIF(B$13:$B41,"l.c"))</f>
        <v>27</v>
      </c>
      <c r="B41" s="100" t="str">
        <f t="shared" si="1"/>
        <v>l.c</v>
      </c>
      <c r="C41" s="146" t="s">
        <v>392</v>
      </c>
      <c r="D41" s="154" t="s">
        <v>113</v>
      </c>
      <c r="E41" s="147" t="s">
        <v>393</v>
      </c>
      <c r="F41" s="36"/>
      <c r="G41" s="36"/>
      <c r="H41" s="36"/>
      <c r="I41" s="36"/>
      <c r="J41" s="36"/>
      <c r="K41" s="36"/>
      <c r="L41" s="36"/>
      <c r="M41" s="36"/>
      <c r="N41" s="36"/>
      <c r="O41" s="36"/>
      <c r="P41" s="36"/>
    </row>
    <row r="42" spans="1:16" ht="39">
      <c r="A42" s="100">
        <f>IF(D42="","",COUNTIF(B$13:$B42,"l.c"))</f>
        <v>28</v>
      </c>
      <c r="B42" s="100" t="str">
        <f t="shared" si="1"/>
        <v>l.c</v>
      </c>
      <c r="C42" s="157" t="s">
        <v>394</v>
      </c>
      <c r="D42" s="154" t="s">
        <v>76</v>
      </c>
      <c r="E42" s="147" t="s">
        <v>385</v>
      </c>
      <c r="F42" s="36"/>
      <c r="G42" s="36"/>
      <c r="H42" s="36"/>
      <c r="I42" s="36"/>
      <c r="J42" s="36"/>
      <c r="K42" s="36"/>
      <c r="L42" s="36"/>
      <c r="M42" s="36"/>
      <c r="N42" s="36"/>
      <c r="O42" s="36"/>
      <c r="P42" s="36"/>
    </row>
    <row r="43" spans="1:16" ht="26.1">
      <c r="A43" s="100">
        <f>IF(D43="","",COUNTIF(B$13:$B43,"l.c"))</f>
        <v>29</v>
      </c>
      <c r="B43" s="100" t="str">
        <f t="shared" si="1"/>
        <v>l.c</v>
      </c>
      <c r="C43" s="157" t="s">
        <v>395</v>
      </c>
      <c r="D43" s="154" t="s">
        <v>76</v>
      </c>
      <c r="E43" s="158">
        <v>2</v>
      </c>
      <c r="F43" s="36"/>
      <c r="G43" s="36"/>
      <c r="H43" s="36"/>
      <c r="I43" s="36"/>
      <c r="J43" s="36"/>
      <c r="K43" s="36"/>
      <c r="L43" s="36"/>
      <c r="M43" s="36"/>
      <c r="N43" s="36"/>
      <c r="O43" s="36"/>
      <c r="P43" s="36"/>
    </row>
    <row r="44" spans="1:16" ht="26.1">
      <c r="A44" s="100">
        <f>IF(D44="","",COUNTIF(B$13:$B44,"l.c"))</f>
        <v>30</v>
      </c>
      <c r="B44" s="100" t="str">
        <f t="shared" si="1"/>
        <v>l.c</v>
      </c>
      <c r="C44" s="151" t="s">
        <v>396</v>
      </c>
      <c r="D44" s="152" t="s">
        <v>113</v>
      </c>
      <c r="E44" s="145">
        <v>1</v>
      </c>
      <c r="F44" s="36"/>
      <c r="G44" s="36"/>
      <c r="H44" s="36"/>
      <c r="I44" s="36"/>
      <c r="J44" s="36"/>
      <c r="K44" s="36"/>
      <c r="L44" s="36"/>
      <c r="M44" s="36"/>
      <c r="N44" s="36"/>
      <c r="O44" s="36"/>
      <c r="P44" s="36"/>
    </row>
    <row r="45" spans="1:16" ht="39">
      <c r="A45" s="100">
        <f>IF(D45="","",COUNTIF(B$13:$B45,"l.c"))</f>
        <v>31</v>
      </c>
      <c r="B45" s="100" t="str">
        <f t="shared" si="1"/>
        <v>l.c</v>
      </c>
      <c r="C45" s="151" t="s">
        <v>397</v>
      </c>
      <c r="D45" s="152" t="s">
        <v>113</v>
      </c>
      <c r="E45" s="145">
        <v>1</v>
      </c>
      <c r="F45" s="36"/>
      <c r="G45" s="36"/>
      <c r="H45" s="36"/>
      <c r="I45" s="36"/>
      <c r="J45" s="36"/>
      <c r="K45" s="36"/>
      <c r="L45" s="36"/>
      <c r="M45" s="36"/>
      <c r="N45" s="36"/>
      <c r="O45" s="36"/>
      <c r="P45" s="36"/>
    </row>
    <row r="46" spans="1:16" ht="12.95">
      <c r="A46" s="100">
        <f>IF(D46="","",COUNTIF(B$13:$B46,"l.c"))</f>
        <v>32</v>
      </c>
      <c r="B46" s="100" t="str">
        <f t="shared" si="1"/>
        <v>l.c</v>
      </c>
      <c r="C46" s="159" t="s">
        <v>398</v>
      </c>
      <c r="D46" s="158" t="s">
        <v>76</v>
      </c>
      <c r="E46" s="147" t="s">
        <v>385</v>
      </c>
      <c r="F46" s="36"/>
      <c r="G46" s="36"/>
      <c r="H46" s="36"/>
      <c r="I46" s="36"/>
      <c r="J46" s="36"/>
      <c r="K46" s="36"/>
      <c r="L46" s="36"/>
      <c r="M46" s="36"/>
      <c r="N46" s="36"/>
      <c r="O46" s="36"/>
      <c r="P46" s="36"/>
    </row>
    <row r="47" spans="1:16" ht="13.5">
      <c r="A47" s="100" t="str">
        <f>IF(D47="","",COUNTIF(B$13:$B47,"l.c"))</f>
        <v/>
      </c>
      <c r="B47" s="100" t="str">
        <f t="shared" si="1"/>
        <v/>
      </c>
      <c r="C47" s="160" t="s">
        <v>399</v>
      </c>
      <c r="D47" s="161"/>
      <c r="E47" s="162"/>
      <c r="F47" s="36"/>
      <c r="G47" s="36"/>
      <c r="H47" s="36"/>
      <c r="I47" s="36"/>
      <c r="J47" s="36"/>
      <c r="K47" s="36"/>
      <c r="L47" s="36"/>
      <c r="M47" s="36"/>
      <c r="N47" s="36"/>
      <c r="O47" s="36"/>
      <c r="P47" s="36"/>
    </row>
    <row r="48" spans="1:16" ht="26.1">
      <c r="A48" s="100">
        <f>IF(D48="","",COUNTIF(B$13:$B48,"l.c"))</f>
        <v>33</v>
      </c>
      <c r="B48" s="100" t="str">
        <f t="shared" si="1"/>
        <v>l.c</v>
      </c>
      <c r="C48" s="143" t="s">
        <v>400</v>
      </c>
      <c r="D48" s="163" t="s">
        <v>113</v>
      </c>
      <c r="E48" s="164">
        <v>1</v>
      </c>
      <c r="F48" s="36"/>
      <c r="G48" s="36"/>
      <c r="H48" s="36"/>
      <c r="I48" s="36"/>
      <c r="J48" s="36"/>
      <c r="K48" s="36"/>
      <c r="L48" s="36"/>
      <c r="M48" s="36"/>
      <c r="N48" s="36"/>
      <c r="O48" s="36"/>
      <c r="P48" s="36"/>
    </row>
    <row r="49" spans="1:16" ht="65.099999999999994">
      <c r="A49" s="100">
        <f>IF(D49="","",COUNTIF(B$13:$B49,"l.c"))</f>
        <v>34</v>
      </c>
      <c r="B49" s="100" t="str">
        <f t="shared" si="1"/>
        <v>l.c</v>
      </c>
      <c r="C49" s="143" t="s">
        <v>401</v>
      </c>
      <c r="D49" s="152" t="s">
        <v>113</v>
      </c>
      <c r="E49" s="164">
        <v>1</v>
      </c>
      <c r="F49" s="36"/>
      <c r="G49" s="36"/>
      <c r="H49" s="36"/>
      <c r="I49" s="36"/>
      <c r="J49" s="36"/>
      <c r="K49" s="36"/>
      <c r="L49" s="36"/>
      <c r="M49" s="36"/>
      <c r="N49" s="36"/>
      <c r="O49" s="36"/>
      <c r="P49" s="36"/>
    </row>
    <row r="50" spans="1:16" ht="39">
      <c r="A50" s="100">
        <f>IF(D50="","",COUNTIF(B$13:$B50,"l.c"))</f>
        <v>35</v>
      </c>
      <c r="B50" s="100" t="str">
        <f t="shared" si="1"/>
        <v>l.c</v>
      </c>
      <c r="C50" s="143" t="s">
        <v>402</v>
      </c>
      <c r="D50" s="152" t="s">
        <v>113</v>
      </c>
      <c r="E50" s="164">
        <v>1</v>
      </c>
      <c r="F50" s="36"/>
      <c r="G50" s="36"/>
      <c r="H50" s="36"/>
      <c r="I50" s="36"/>
      <c r="J50" s="36"/>
      <c r="K50" s="36"/>
      <c r="L50" s="36"/>
      <c r="M50" s="36"/>
      <c r="N50" s="36"/>
      <c r="O50" s="36"/>
      <c r="P50" s="36"/>
    </row>
    <row r="51" spans="1:16" ht="26.1">
      <c r="A51" s="100"/>
      <c r="B51" s="100"/>
      <c r="C51" s="151" t="s">
        <v>403</v>
      </c>
      <c r="D51" s="152" t="s">
        <v>76</v>
      </c>
      <c r="E51" s="164">
        <v>1</v>
      </c>
      <c r="F51" s="36"/>
      <c r="G51" s="36"/>
      <c r="H51" s="36"/>
      <c r="I51" s="36"/>
      <c r="J51" s="36"/>
      <c r="K51" s="36"/>
      <c r="L51" s="36"/>
      <c r="M51" s="36"/>
      <c r="N51" s="36"/>
      <c r="O51" s="36"/>
      <c r="P51" s="36"/>
    </row>
    <row r="52" spans="1:16" ht="13.5">
      <c r="A52" s="100"/>
      <c r="B52" s="100"/>
      <c r="C52" s="165" t="s">
        <v>404</v>
      </c>
      <c r="D52" s="166"/>
      <c r="E52" s="147"/>
      <c r="F52" s="36"/>
      <c r="G52" s="36"/>
      <c r="H52" s="36"/>
      <c r="I52" s="36"/>
      <c r="J52" s="36"/>
      <c r="K52" s="36"/>
      <c r="L52" s="36"/>
      <c r="M52" s="36"/>
      <c r="N52" s="36"/>
      <c r="O52" s="36"/>
      <c r="P52" s="36"/>
    </row>
    <row r="53" spans="1:16" ht="51.95">
      <c r="A53" s="100"/>
      <c r="B53" s="100"/>
      <c r="C53" s="167" t="s">
        <v>405</v>
      </c>
      <c r="D53" s="152" t="s">
        <v>68</v>
      </c>
      <c r="E53" s="164">
        <f>2.9+1.6+1.8+1.9+1.6</f>
        <v>9.8000000000000007</v>
      </c>
      <c r="F53" s="36"/>
      <c r="G53" s="36"/>
      <c r="H53" s="36"/>
      <c r="I53" s="36"/>
      <c r="J53" s="36"/>
      <c r="K53" s="36"/>
      <c r="L53" s="36"/>
      <c r="M53" s="36"/>
      <c r="N53" s="36"/>
      <c r="O53" s="36"/>
      <c r="P53" s="36"/>
    </row>
    <row r="54" spans="1:16" ht="51.95">
      <c r="A54" s="100">
        <f>IF(D54="","",COUNTIF(B$13:$B54,"l.c"))</f>
        <v>36</v>
      </c>
      <c r="B54" s="100" t="str">
        <f t="shared" ref="B54:B58" si="2">IF(D54="","","l.c")</f>
        <v>l.c</v>
      </c>
      <c r="C54" s="167" t="s">
        <v>406</v>
      </c>
      <c r="D54" s="152" t="s">
        <v>68</v>
      </c>
      <c r="E54" s="164">
        <v>2.2000000000000002</v>
      </c>
      <c r="F54" s="36"/>
      <c r="G54" s="36"/>
      <c r="H54" s="36"/>
      <c r="I54" s="36"/>
      <c r="J54" s="36"/>
      <c r="K54" s="36"/>
      <c r="L54" s="36"/>
      <c r="M54" s="36"/>
      <c r="N54" s="36"/>
      <c r="O54" s="36"/>
      <c r="P54" s="36"/>
    </row>
    <row r="55" spans="1:16" ht="39">
      <c r="A55" s="100">
        <f>IF(D55="","",COUNTIF(B$13:$B55,"l.c"))</f>
        <v>37</v>
      </c>
      <c r="B55" s="100" t="str">
        <f t="shared" si="2"/>
        <v>l.c</v>
      </c>
      <c r="C55" s="167" t="s">
        <v>407</v>
      </c>
      <c r="D55" s="152" t="s">
        <v>68</v>
      </c>
      <c r="E55" s="164">
        <f>1.4+0.6+0.6+0.6</f>
        <v>3.2</v>
      </c>
      <c r="F55" s="36"/>
      <c r="G55" s="36"/>
      <c r="H55" s="36"/>
      <c r="I55" s="36"/>
      <c r="J55" s="36"/>
      <c r="K55" s="36"/>
      <c r="L55" s="36"/>
      <c r="M55" s="36"/>
      <c r="N55" s="36"/>
      <c r="O55" s="36"/>
      <c r="P55" s="36"/>
    </row>
    <row r="56" spans="1:16" ht="26.1">
      <c r="A56" s="100">
        <f>IF(D56="","",COUNTIF(B$13:$B56,"l.c"))</f>
        <v>38</v>
      </c>
      <c r="B56" s="100" t="str">
        <f t="shared" si="2"/>
        <v>l.c</v>
      </c>
      <c r="C56" s="168" t="s">
        <v>408</v>
      </c>
      <c r="D56" s="169" t="s">
        <v>68</v>
      </c>
      <c r="E56" s="169">
        <v>4.3</v>
      </c>
      <c r="F56" s="36"/>
      <c r="G56" s="36"/>
      <c r="H56" s="36"/>
      <c r="I56" s="36"/>
      <c r="J56" s="36"/>
      <c r="K56" s="36"/>
      <c r="L56" s="36"/>
      <c r="M56" s="36"/>
      <c r="N56" s="36"/>
      <c r="O56" s="36"/>
      <c r="P56" s="36"/>
    </row>
    <row r="57" spans="1:16" ht="51.95">
      <c r="A57" s="100">
        <f>IF(D57="","",COUNTIF(B$13:$B57,"l.c"))</f>
        <v>39</v>
      </c>
      <c r="B57" s="100" t="str">
        <f t="shared" si="2"/>
        <v>l.c</v>
      </c>
      <c r="C57" s="143" t="s">
        <v>409</v>
      </c>
      <c r="D57" s="152" t="s">
        <v>68</v>
      </c>
      <c r="E57" s="164">
        <v>4.3</v>
      </c>
      <c r="F57" s="36"/>
      <c r="G57" s="36"/>
      <c r="H57" s="36"/>
      <c r="I57" s="36"/>
      <c r="J57" s="36"/>
      <c r="K57" s="36"/>
      <c r="L57" s="36"/>
      <c r="M57" s="36"/>
      <c r="N57" s="36"/>
      <c r="O57" s="36"/>
      <c r="P57" s="36"/>
    </row>
    <row r="58" spans="1:16" ht="39">
      <c r="A58" s="100">
        <f>IF(D58="","",COUNTIF(B$13:$B58,"l.c"))</f>
        <v>40</v>
      </c>
      <c r="B58" s="100" t="str">
        <f t="shared" si="2"/>
        <v>l.c</v>
      </c>
      <c r="C58" s="143" t="s">
        <v>410</v>
      </c>
      <c r="D58" s="152" t="s">
        <v>411</v>
      </c>
      <c r="E58" s="164">
        <v>1</v>
      </c>
      <c r="F58" s="36"/>
      <c r="G58" s="36"/>
      <c r="H58" s="36"/>
      <c r="I58" s="36"/>
      <c r="J58" s="36"/>
      <c r="K58" s="36"/>
      <c r="L58" s="36"/>
      <c r="M58" s="36"/>
      <c r="N58" s="36"/>
      <c r="O58" s="36"/>
      <c r="P58" s="36"/>
    </row>
    <row r="59" spans="1:16" ht="12.95">
      <c r="A59" s="100">
        <f>IF(D59="","",COUNTIF(B$13:$B59,"l.c"))</f>
        <v>41</v>
      </c>
      <c r="B59" s="100" t="str">
        <f t="shared" ref="B59:B74" si="3">IF(D59="","","l.c")</f>
        <v>l.c</v>
      </c>
      <c r="C59" s="143" t="s">
        <v>412</v>
      </c>
      <c r="D59" s="152" t="s">
        <v>113</v>
      </c>
      <c r="E59" s="164">
        <v>1</v>
      </c>
      <c r="F59" s="36"/>
      <c r="G59" s="36"/>
      <c r="H59" s="36"/>
      <c r="I59" s="36"/>
      <c r="J59" s="36"/>
      <c r="K59" s="36"/>
      <c r="L59" s="36"/>
      <c r="M59" s="36"/>
      <c r="N59" s="36"/>
      <c r="O59" s="36"/>
      <c r="P59" s="36"/>
    </row>
    <row r="60" spans="1:16" ht="39">
      <c r="A60" s="100">
        <f>IF(D60="","",COUNTIF(B$13:$B60,"l.c"))</f>
        <v>42</v>
      </c>
      <c r="B60" s="100" t="str">
        <f t="shared" si="3"/>
        <v>l.c</v>
      </c>
      <c r="C60" s="143" t="s">
        <v>413</v>
      </c>
      <c r="D60" s="152" t="s">
        <v>113</v>
      </c>
      <c r="E60" s="164">
        <v>1</v>
      </c>
      <c r="F60" s="36"/>
      <c r="G60" s="36"/>
      <c r="H60" s="36"/>
      <c r="I60" s="36"/>
      <c r="J60" s="36"/>
      <c r="K60" s="36"/>
      <c r="L60" s="36"/>
      <c r="M60" s="36"/>
      <c r="N60" s="36"/>
      <c r="O60" s="36"/>
      <c r="P60" s="36"/>
    </row>
    <row r="61" spans="1:16" ht="39">
      <c r="A61" s="100">
        <f>IF(D61="","",COUNTIF(B$13:$B61,"l.c"))</f>
        <v>43</v>
      </c>
      <c r="B61" s="100" t="str">
        <f t="shared" si="3"/>
        <v>l.c</v>
      </c>
      <c r="C61" s="143" t="s">
        <v>414</v>
      </c>
      <c r="D61" s="152" t="s">
        <v>113</v>
      </c>
      <c r="E61" s="164">
        <v>2</v>
      </c>
      <c r="F61" s="36"/>
      <c r="G61" s="36"/>
      <c r="H61" s="36"/>
      <c r="I61" s="36"/>
      <c r="J61" s="36"/>
      <c r="K61" s="36"/>
      <c r="L61" s="36"/>
      <c r="M61" s="36"/>
      <c r="N61" s="36"/>
      <c r="O61" s="36"/>
      <c r="P61" s="36"/>
    </row>
    <row r="62" spans="1:16" ht="13.5">
      <c r="A62" s="100" t="str">
        <f>IF(D62="","",COUNTIF(B$13:$B62,"l.c"))</f>
        <v/>
      </c>
      <c r="B62" s="100" t="str">
        <f t="shared" si="3"/>
        <v/>
      </c>
      <c r="C62" s="160" t="s">
        <v>415</v>
      </c>
      <c r="D62" s="170"/>
      <c r="E62" s="171"/>
      <c r="F62" s="36"/>
      <c r="G62" s="36"/>
      <c r="H62" s="36"/>
      <c r="I62" s="36"/>
      <c r="J62" s="36"/>
      <c r="K62" s="36"/>
      <c r="L62" s="36"/>
      <c r="M62" s="36"/>
      <c r="N62" s="36"/>
      <c r="O62" s="36"/>
      <c r="P62" s="36"/>
    </row>
    <row r="63" spans="1:16" ht="51.95">
      <c r="A63" s="100">
        <f>IF(D63="","",COUNTIF(B$13:$B63,"l.c"))</f>
        <v>44</v>
      </c>
      <c r="B63" s="100" t="str">
        <f t="shared" si="3"/>
        <v>l.c</v>
      </c>
      <c r="C63" s="167" t="s">
        <v>416</v>
      </c>
      <c r="D63" s="152" t="s">
        <v>68</v>
      </c>
      <c r="E63" s="164">
        <f>2.1+3.7+0.8+7.5+3.2</f>
        <v>17.3</v>
      </c>
      <c r="F63" s="36"/>
      <c r="G63" s="36"/>
      <c r="H63" s="36"/>
      <c r="I63" s="36"/>
      <c r="J63" s="36"/>
      <c r="K63" s="36"/>
      <c r="L63" s="36"/>
      <c r="M63" s="36"/>
      <c r="N63" s="36"/>
      <c r="O63" s="36"/>
      <c r="P63" s="36"/>
    </row>
    <row r="64" spans="1:16" ht="51.95">
      <c r="A64" s="100">
        <f>IF(D64="","",COUNTIF(B$13:$B64,"l.c"))</f>
        <v>45</v>
      </c>
      <c r="B64" s="100" t="str">
        <f t="shared" si="3"/>
        <v>l.c</v>
      </c>
      <c r="C64" s="167" t="s">
        <v>405</v>
      </c>
      <c r="D64" s="152" t="s">
        <v>68</v>
      </c>
      <c r="E64" s="164">
        <f>2.7+1.1+1.5+1.1</f>
        <v>6.4</v>
      </c>
      <c r="F64" s="36"/>
      <c r="G64" s="36"/>
      <c r="H64" s="36"/>
      <c r="I64" s="36"/>
      <c r="J64" s="36"/>
      <c r="K64" s="36"/>
      <c r="L64" s="36"/>
      <c r="M64" s="36"/>
      <c r="N64" s="36"/>
      <c r="O64" s="36"/>
      <c r="P64" s="36"/>
    </row>
    <row r="65" spans="1:16" ht="51.95">
      <c r="A65" s="100">
        <f>IF(D65="","",COUNTIF(B$13:$B65,"l.c"))</f>
        <v>46</v>
      </c>
      <c r="B65" s="100" t="str">
        <f t="shared" si="3"/>
        <v>l.c</v>
      </c>
      <c r="C65" s="167" t="s">
        <v>406</v>
      </c>
      <c r="D65" s="152" t="s">
        <v>68</v>
      </c>
      <c r="E65" s="164">
        <f>2.3</f>
        <v>2.2999999999999998</v>
      </c>
      <c r="F65" s="36"/>
      <c r="G65" s="36"/>
      <c r="H65" s="36"/>
      <c r="I65" s="36"/>
      <c r="J65" s="36"/>
      <c r="K65" s="36"/>
      <c r="L65" s="36"/>
      <c r="M65" s="36"/>
      <c r="N65" s="36"/>
      <c r="O65" s="36"/>
      <c r="P65" s="36"/>
    </row>
    <row r="66" spans="1:16" ht="39">
      <c r="A66" s="100">
        <f>IF(D66="","",COUNTIF(B$13:$B66,"l.c"))</f>
        <v>47</v>
      </c>
      <c r="B66" s="100" t="str">
        <f t="shared" si="3"/>
        <v>l.c</v>
      </c>
      <c r="C66" s="167" t="s">
        <v>417</v>
      </c>
      <c r="D66" s="152" t="s">
        <v>68</v>
      </c>
      <c r="E66" s="164">
        <f>0.4+0.9+1.4</f>
        <v>2.7</v>
      </c>
      <c r="F66" s="36"/>
      <c r="G66" s="36"/>
      <c r="H66" s="36"/>
      <c r="I66" s="36"/>
      <c r="J66" s="36"/>
      <c r="K66" s="36"/>
      <c r="L66" s="36"/>
      <c r="M66" s="36"/>
      <c r="N66" s="36"/>
      <c r="O66" s="36"/>
      <c r="P66" s="36"/>
    </row>
    <row r="67" spans="1:16" ht="39">
      <c r="A67" s="100">
        <f>IF(D67="","",COUNTIF(B$13:$B67,"l.c"))</f>
        <v>48</v>
      </c>
      <c r="B67" s="100" t="str">
        <f t="shared" si="3"/>
        <v>l.c</v>
      </c>
      <c r="C67" s="167" t="s">
        <v>407</v>
      </c>
      <c r="D67" s="152" t="s">
        <v>68</v>
      </c>
      <c r="E67" s="164">
        <f>0.9+0.9+0.9+0.9</f>
        <v>3.6</v>
      </c>
      <c r="F67" s="36"/>
      <c r="G67" s="36"/>
      <c r="H67" s="36"/>
      <c r="I67" s="36"/>
      <c r="J67" s="36"/>
      <c r="K67" s="36"/>
      <c r="L67" s="36"/>
      <c r="M67" s="36"/>
      <c r="N67" s="36"/>
      <c r="O67" s="36"/>
      <c r="P67" s="36"/>
    </row>
    <row r="68" spans="1:16" ht="39">
      <c r="A68" s="100">
        <f>IF(D68="","",COUNTIF(B$13:$B68,"l.c"))</f>
        <v>49</v>
      </c>
      <c r="B68" s="100" t="str">
        <f t="shared" si="3"/>
        <v>l.c</v>
      </c>
      <c r="C68" s="167" t="s">
        <v>418</v>
      </c>
      <c r="D68" s="152" t="s">
        <v>68</v>
      </c>
      <c r="E68" s="164">
        <f>1.7+1.4</f>
        <v>3.1</v>
      </c>
      <c r="F68" s="36"/>
      <c r="G68" s="36"/>
      <c r="H68" s="36"/>
      <c r="I68" s="36"/>
      <c r="J68" s="36"/>
      <c r="K68" s="36"/>
      <c r="L68" s="36"/>
      <c r="M68" s="36"/>
      <c r="N68" s="36"/>
      <c r="O68" s="36"/>
      <c r="P68" s="36"/>
    </row>
    <row r="69" spans="1:16" ht="39">
      <c r="A69" s="100">
        <f>IF(D69="","",COUNTIF(B$13:$B69,"l.c"))</f>
        <v>50</v>
      </c>
      <c r="B69" s="100" t="str">
        <f t="shared" si="3"/>
        <v>l.c</v>
      </c>
      <c r="C69" s="143" t="s">
        <v>419</v>
      </c>
      <c r="D69" s="152" t="s">
        <v>68</v>
      </c>
      <c r="E69" s="164">
        <v>4.3</v>
      </c>
      <c r="F69" s="36"/>
      <c r="G69" s="36"/>
      <c r="H69" s="36"/>
      <c r="I69" s="36"/>
      <c r="J69" s="36"/>
      <c r="K69" s="36"/>
      <c r="L69" s="36"/>
      <c r="M69" s="36"/>
      <c r="N69" s="36"/>
      <c r="O69" s="36"/>
      <c r="P69" s="36"/>
    </row>
    <row r="70" spans="1:16" ht="39">
      <c r="A70" s="100">
        <f>IF(D70="","",COUNTIF(B$13:$B70,"l.c"))</f>
        <v>51</v>
      </c>
      <c r="B70" s="100" t="str">
        <f t="shared" si="3"/>
        <v>l.c</v>
      </c>
      <c r="C70" s="143" t="s">
        <v>420</v>
      </c>
      <c r="D70" s="152" t="s">
        <v>411</v>
      </c>
      <c r="E70" s="164">
        <v>1</v>
      </c>
      <c r="F70" s="36"/>
      <c r="G70" s="36"/>
      <c r="H70" s="36"/>
      <c r="I70" s="36"/>
      <c r="J70" s="36"/>
      <c r="K70" s="36"/>
      <c r="L70" s="36"/>
      <c r="M70" s="36"/>
      <c r="N70" s="36"/>
      <c r="O70" s="36"/>
      <c r="P70" s="36"/>
    </row>
    <row r="71" spans="1:16" ht="12.95">
      <c r="A71" s="100">
        <f>IF(D71="","",COUNTIF(B$13:$B71,"l.c"))</f>
        <v>52</v>
      </c>
      <c r="B71" s="100" t="str">
        <f t="shared" si="3"/>
        <v>l.c</v>
      </c>
      <c r="C71" s="143" t="s">
        <v>421</v>
      </c>
      <c r="D71" s="152" t="s">
        <v>113</v>
      </c>
      <c r="E71" s="164">
        <v>1</v>
      </c>
      <c r="F71" s="36"/>
      <c r="G71" s="36"/>
      <c r="H71" s="36"/>
      <c r="I71" s="36"/>
      <c r="J71" s="36"/>
      <c r="K71" s="36"/>
      <c r="L71" s="36"/>
      <c r="M71" s="36"/>
      <c r="N71" s="36"/>
      <c r="O71" s="36"/>
      <c r="P71" s="36"/>
    </row>
    <row r="72" spans="1:16" ht="39">
      <c r="A72" s="100">
        <f>IF(D72="","",COUNTIF(B$13:$B72,"l.c"))</f>
        <v>53</v>
      </c>
      <c r="B72" s="100" t="str">
        <f t="shared" si="3"/>
        <v>l.c</v>
      </c>
      <c r="C72" s="143" t="s">
        <v>422</v>
      </c>
      <c r="D72" s="152" t="s">
        <v>113</v>
      </c>
      <c r="E72" s="164">
        <v>1</v>
      </c>
      <c r="F72" s="36"/>
      <c r="G72" s="36"/>
      <c r="H72" s="36"/>
      <c r="I72" s="36"/>
      <c r="J72" s="36"/>
      <c r="K72" s="36"/>
      <c r="L72" s="36"/>
      <c r="M72" s="36"/>
      <c r="N72" s="36"/>
      <c r="O72" s="36"/>
      <c r="P72" s="36"/>
    </row>
    <row r="73" spans="1:16" ht="39">
      <c r="A73" s="100">
        <f>IF(D73="","",COUNTIF(B$13:$B73,"l.c"))</f>
        <v>54</v>
      </c>
      <c r="B73" s="100" t="str">
        <f t="shared" si="3"/>
        <v>l.c</v>
      </c>
      <c r="C73" s="143" t="s">
        <v>423</v>
      </c>
      <c r="D73" s="152" t="s">
        <v>113</v>
      </c>
      <c r="E73" s="164">
        <v>1</v>
      </c>
      <c r="F73" s="36"/>
      <c r="G73" s="36"/>
      <c r="H73" s="36"/>
      <c r="I73" s="36"/>
      <c r="J73" s="36"/>
      <c r="K73" s="36"/>
      <c r="L73" s="36"/>
      <c r="M73" s="36"/>
      <c r="N73" s="36"/>
      <c r="O73" s="36"/>
      <c r="P73" s="36"/>
    </row>
    <row r="74" spans="1:16" ht="65.099999999999994">
      <c r="A74" s="100">
        <f>IF(D74="","",COUNTIF(B$13:$B74,"l.c"))</f>
        <v>55</v>
      </c>
      <c r="B74" s="100" t="str">
        <f t="shared" si="3"/>
        <v>l.c</v>
      </c>
      <c r="C74" s="143" t="s">
        <v>424</v>
      </c>
      <c r="D74" s="152" t="s">
        <v>113</v>
      </c>
      <c r="E74" s="164">
        <v>2</v>
      </c>
      <c r="F74" s="36"/>
      <c r="G74" s="36"/>
      <c r="H74" s="36"/>
      <c r="I74" s="36"/>
      <c r="J74" s="36"/>
      <c r="K74" s="36"/>
      <c r="L74" s="36"/>
      <c r="M74" s="36"/>
      <c r="N74" s="36"/>
      <c r="O74" s="36"/>
      <c r="P74" s="36"/>
    </row>
    <row r="75" spans="1:16" ht="26.1">
      <c r="A75" s="100">
        <f>IF(D75="","",COUNTIF(B$13:$B75,"l.c"))</f>
        <v>56</v>
      </c>
      <c r="B75" s="100" t="str">
        <f t="shared" ref="B75" si="4">IF(D75="","","l.c")</f>
        <v>l.c</v>
      </c>
      <c r="C75" s="151" t="s">
        <v>403</v>
      </c>
      <c r="D75" s="152" t="s">
        <v>76</v>
      </c>
      <c r="E75" s="164">
        <v>1</v>
      </c>
      <c r="F75" s="36"/>
      <c r="G75" s="36"/>
      <c r="H75" s="36"/>
      <c r="I75" s="36"/>
      <c r="J75" s="36"/>
      <c r="K75" s="36"/>
      <c r="L75" s="36"/>
      <c r="M75" s="36"/>
      <c r="N75" s="36"/>
      <c r="O75" s="36"/>
      <c r="P75" s="36"/>
    </row>
    <row r="76" spans="1:16">
      <c r="A76" s="46"/>
      <c r="B76" s="205" t="s">
        <v>92</v>
      </c>
      <c r="C76" s="205"/>
      <c r="D76" s="205"/>
      <c r="E76" s="205"/>
      <c r="F76" s="205"/>
      <c r="G76" s="205"/>
      <c r="H76" s="205"/>
      <c r="I76" s="205"/>
      <c r="J76" s="205"/>
      <c r="K76" s="205"/>
      <c r="L76" s="65">
        <f>SUM(L15:L75)</f>
        <v>0</v>
      </c>
      <c r="M76" s="65">
        <f>SUM(M15:M75)</f>
        <v>0</v>
      </c>
      <c r="N76" s="65">
        <f>SUM(N15:N75)</f>
        <v>0</v>
      </c>
      <c r="O76" s="65">
        <f>SUM(O15:O75)</f>
        <v>0</v>
      </c>
      <c r="P76" s="65">
        <f>SUM(P15:P75)</f>
        <v>0</v>
      </c>
    </row>
    <row r="77" spans="1:16">
      <c r="A77" s="27"/>
      <c r="B77" s="27"/>
      <c r="C77" s="28"/>
      <c r="D77" s="187"/>
      <c r="E77" s="187"/>
      <c r="F77" s="27"/>
      <c r="G77" s="27"/>
      <c r="H77" s="27"/>
      <c r="I77" s="27"/>
      <c r="J77" s="27"/>
      <c r="K77" s="27"/>
      <c r="L77" s="27"/>
      <c r="M77" s="27"/>
      <c r="N77" s="27"/>
      <c r="O77" s="27"/>
      <c r="P77" s="27"/>
    </row>
    <row r="78" spans="1:16">
      <c r="A78" s="27"/>
      <c r="B78" s="27"/>
      <c r="C78" s="28"/>
      <c r="D78" s="187"/>
      <c r="E78" s="187"/>
      <c r="F78" s="27"/>
      <c r="G78" s="27"/>
      <c r="H78" s="27"/>
      <c r="I78" s="27"/>
      <c r="J78" s="27"/>
      <c r="K78" s="27"/>
      <c r="L78" s="27"/>
      <c r="M78" s="27"/>
      <c r="N78" s="27"/>
      <c r="O78" s="27"/>
      <c r="P78" s="27"/>
    </row>
    <row r="79" spans="1:16">
      <c r="A79" s="22" t="s">
        <v>9</v>
      </c>
      <c r="B79" s="21"/>
      <c r="C79" s="21"/>
      <c r="D79" s="30"/>
      <c r="E79" s="30"/>
      <c r="F79" s="21"/>
      <c r="G79" s="22"/>
      <c r="H79" s="21"/>
      <c r="I79" s="21"/>
      <c r="J79" s="21"/>
      <c r="K79" s="21"/>
      <c r="L79" s="21"/>
      <c r="M79" s="29"/>
      <c r="N79" s="29"/>
      <c r="O79" s="29"/>
      <c r="P79" s="6"/>
    </row>
    <row r="80" spans="1:16">
      <c r="A80" s="22"/>
      <c r="B80" s="208" t="s">
        <v>10</v>
      </c>
      <c r="C80" s="208"/>
      <c r="D80" s="208"/>
      <c r="E80" s="208"/>
      <c r="F80" s="208"/>
      <c r="G80" s="22"/>
      <c r="H80" s="223"/>
      <c r="I80" s="223"/>
      <c r="J80" s="223"/>
      <c r="K80" s="223"/>
      <c r="L80" s="223"/>
      <c r="M80" s="27"/>
      <c r="N80" s="27"/>
      <c r="O80" s="27"/>
      <c r="P80" s="27"/>
    </row>
    <row r="81" spans="1:16">
      <c r="A81" s="22"/>
      <c r="B81" s="189"/>
      <c r="C81" s="189"/>
      <c r="D81" s="109"/>
      <c r="E81" s="109"/>
      <c r="F81" s="189"/>
      <c r="G81" s="22"/>
      <c r="H81" s="189"/>
      <c r="I81" s="189"/>
      <c r="J81" s="189"/>
      <c r="K81" s="189"/>
      <c r="L81" s="189"/>
      <c r="M81" s="27"/>
      <c r="N81" s="27"/>
      <c r="O81" s="27"/>
      <c r="P81" s="27"/>
    </row>
    <row r="82" spans="1:16">
      <c r="A82" s="1" t="str">
        <f>'1-1.DOP'!$A$42</f>
        <v>Tāme sastādīta: 2025.gada 20. oktobrī</v>
      </c>
      <c r="B82" s="1"/>
      <c r="C82" s="27"/>
      <c r="D82" s="187"/>
      <c r="E82" s="187"/>
      <c r="F82" s="27"/>
      <c r="G82" s="27"/>
      <c r="H82" s="27"/>
      <c r="I82" s="27"/>
      <c r="J82" s="27"/>
      <c r="K82" s="27"/>
      <c r="L82" s="27"/>
      <c r="M82" s="27"/>
      <c r="N82" s="27"/>
      <c r="O82" s="27"/>
      <c r="P82" s="27"/>
    </row>
    <row r="83" spans="1:16">
      <c r="A83" s="187"/>
      <c r="B83" s="187"/>
      <c r="C83" s="27"/>
      <c r="D83" s="187"/>
      <c r="E83" s="187"/>
      <c r="F83" s="27"/>
      <c r="G83" s="27"/>
      <c r="H83" s="27"/>
      <c r="I83" s="27"/>
      <c r="J83" s="27"/>
      <c r="K83" s="27"/>
      <c r="L83" s="27"/>
      <c r="M83" s="27"/>
      <c r="N83" s="27"/>
      <c r="O83" s="27"/>
      <c r="P83" s="27"/>
    </row>
    <row r="84" spans="1:16">
      <c r="A84" s="22" t="s">
        <v>93</v>
      </c>
      <c r="B84" s="21"/>
      <c r="C84" s="21"/>
      <c r="D84" s="30"/>
      <c r="E84" s="30"/>
      <c r="F84" s="21"/>
      <c r="G84" s="29"/>
      <c r="H84" s="29"/>
      <c r="I84" s="29"/>
      <c r="J84" s="6"/>
      <c r="K84" s="27"/>
      <c r="L84" s="27"/>
      <c r="M84" s="27"/>
      <c r="N84" s="27"/>
      <c r="O84" s="27"/>
      <c r="P84" s="27"/>
    </row>
    <row r="85" spans="1:16">
      <c r="A85" s="22"/>
      <c r="B85" s="223" t="s">
        <v>10</v>
      </c>
      <c r="C85" s="223"/>
      <c r="D85" s="223"/>
      <c r="E85" s="223"/>
      <c r="F85" s="223"/>
      <c r="G85" s="27"/>
      <c r="H85" s="27"/>
      <c r="I85" s="27"/>
      <c r="J85" s="27"/>
      <c r="K85" s="27"/>
      <c r="L85" s="27"/>
      <c r="M85" s="27"/>
      <c r="N85" s="27"/>
      <c r="O85" s="27"/>
      <c r="P85" s="27"/>
    </row>
    <row r="86" spans="1:16">
      <c r="A86" s="187"/>
      <c r="B86" s="187"/>
      <c r="C86" s="27"/>
      <c r="D86" s="187"/>
      <c r="E86" s="187"/>
      <c r="F86" s="27"/>
      <c r="G86" s="27"/>
      <c r="H86" s="27"/>
      <c r="I86" s="27"/>
      <c r="J86" s="27"/>
      <c r="K86" s="27"/>
      <c r="L86" s="27"/>
      <c r="M86" s="27"/>
      <c r="N86" s="27"/>
      <c r="O86" s="27"/>
      <c r="P86" s="27"/>
    </row>
    <row r="87" spans="1:16">
      <c r="A87" s="22" t="s">
        <v>11</v>
      </c>
      <c r="B87" s="22"/>
      <c r="C87" s="187"/>
      <c r="D87" s="187"/>
      <c r="E87" s="187"/>
      <c r="F87" s="27"/>
      <c r="G87" s="27"/>
      <c r="H87" s="27"/>
      <c r="I87" s="27"/>
      <c r="J87" s="27"/>
      <c r="K87" s="27"/>
      <c r="L87" s="27"/>
      <c r="M87" s="27"/>
      <c r="N87" s="27"/>
      <c r="O87" s="27"/>
      <c r="P87" s="27"/>
    </row>
    <row r="88" spans="1:16">
      <c r="A88" s="27"/>
      <c r="B88" s="27"/>
      <c r="C88" s="27"/>
      <c r="D88" s="187"/>
      <c r="E88" s="187"/>
      <c r="F88" s="27"/>
      <c r="G88" s="27"/>
      <c r="H88" s="27"/>
      <c r="I88" s="27"/>
      <c r="J88" s="27"/>
      <c r="K88" s="27"/>
      <c r="L88" s="27"/>
      <c r="M88" s="27"/>
      <c r="N88" s="27"/>
      <c r="O88" s="27"/>
      <c r="P88" s="27"/>
    </row>
    <row r="89" spans="1:16">
      <c r="A89" s="27"/>
      <c r="B89" s="27"/>
      <c r="C89" s="27"/>
      <c r="D89" s="187"/>
      <c r="E89" s="187"/>
      <c r="F89" s="27"/>
      <c r="G89" s="27"/>
      <c r="H89" s="27"/>
      <c r="I89" s="27"/>
      <c r="J89" s="27"/>
      <c r="K89" s="27"/>
      <c r="L89" s="27"/>
      <c r="M89" s="27"/>
      <c r="N89" s="27"/>
      <c r="O89" s="27"/>
      <c r="P89" s="27"/>
    </row>
    <row r="90" spans="1:16">
      <c r="A90" s="203" t="s">
        <v>13</v>
      </c>
      <c r="B90" s="203"/>
      <c r="C90" s="203"/>
      <c r="D90" s="203"/>
      <c r="E90" s="203"/>
      <c r="F90" s="203"/>
      <c r="G90" s="203"/>
      <c r="H90" s="203"/>
      <c r="I90" s="203"/>
      <c r="J90" s="203"/>
      <c r="K90" s="203"/>
      <c r="L90" s="203"/>
      <c r="M90" s="203"/>
      <c r="N90" s="203"/>
      <c r="O90" s="203"/>
      <c r="P90" s="203"/>
    </row>
  </sheetData>
  <mergeCells count="18">
    <mergeCell ref="A2:Q2"/>
    <mergeCell ref="A1:Q1"/>
    <mergeCell ref="A11:A12"/>
    <mergeCell ref="B11:B12"/>
    <mergeCell ref="C11:C12"/>
    <mergeCell ref="D11:D12"/>
    <mergeCell ref="E11:E12"/>
    <mergeCell ref="A3:P3"/>
    <mergeCell ref="A5:F5"/>
    <mergeCell ref="A6:F6"/>
    <mergeCell ref="A7:F7"/>
    <mergeCell ref="B80:F80"/>
    <mergeCell ref="H80:L80"/>
    <mergeCell ref="B85:F85"/>
    <mergeCell ref="A90:P90"/>
    <mergeCell ref="F11:K11"/>
    <mergeCell ref="L11:P11"/>
    <mergeCell ref="B76:K76"/>
  </mergeCells>
  <printOptions horizontalCentered="1"/>
  <pageMargins left="0.78740157480314965" right="0.39370078740157483" top="1.1811023622047245" bottom="0.39370078740157483"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2c9794-155a-4a9d-b43c-fe8e094bb837">
      <Terms xmlns="http://schemas.microsoft.com/office/infopath/2007/PartnerControls"/>
    </lcf76f155ced4ddcb4097134ff3c332f>
    <TaxCatchAll xmlns="ec60e0eb-a8cb-442b-a8c1-54e5c32ba7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629645EAE4B1654EA9F8AD7B6F03BF41" ma:contentTypeVersion="13" ma:contentTypeDescription="Izveidot jaunu dokumentu." ma:contentTypeScope="" ma:versionID="39755cafffe2c2c05b35c4a58b63f404">
  <xsd:schema xmlns:xsd="http://www.w3.org/2001/XMLSchema" xmlns:xs="http://www.w3.org/2001/XMLSchema" xmlns:p="http://schemas.microsoft.com/office/2006/metadata/properties" xmlns:ns2="c12c9794-155a-4a9d-b43c-fe8e094bb837" xmlns:ns3="ec60e0eb-a8cb-442b-a8c1-54e5c32ba793" targetNamespace="http://schemas.microsoft.com/office/2006/metadata/properties" ma:root="true" ma:fieldsID="3a3efe9b9a5f4b73cc05e7018cea057d" ns2:_="" ns3:_="">
    <xsd:import namespace="c12c9794-155a-4a9d-b43c-fe8e094bb837"/>
    <xsd:import namespace="ec60e0eb-a8cb-442b-a8c1-54e5c32ba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c9794-155a-4a9d-b43c-fe8e094bb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41dcd309-37ab-4821-9be6-015268860df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60e0eb-a8cb-442b-a8c1-54e5c32ba7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3802851-fbc7-4116-b262-b79b6723a315}" ma:internalName="TaxCatchAll" ma:showField="CatchAllData" ma:web="ec60e0eb-a8cb-442b-a8c1-54e5c32ba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88F84-4270-49E5-B675-D85816B37A21}"/>
</file>

<file path=customXml/itemProps2.xml><?xml version="1.0" encoding="utf-8"?>
<ds:datastoreItem xmlns:ds="http://schemas.openxmlformats.org/officeDocument/2006/customXml" ds:itemID="{8D0659A2-F89B-4F93-848B-048420CC79BD}"/>
</file>

<file path=customXml/itemProps3.xml><?xml version="1.0" encoding="utf-8"?>
<ds:datastoreItem xmlns:ds="http://schemas.openxmlformats.org/officeDocument/2006/customXml" ds:itemID="{758540C7-8193-4221-A8E5-1E915B79A1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2019-10-24T11:01:39Z</dcterms:created>
  <dcterms:modified xsi:type="dcterms:W3CDTF">2026-03-18T19:48:47Z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0x010100629645EAE4B1654EA9F8AD7B6F03BF41</vt:lpwstr>
  </property>
  <property fmtid="{D5CDD505-2E9C-101B-9397-08002B2CF9AE}" pid="3" name="MediaServiceImageTags">
    <vt:lpwstr/>
  </property>
</Properties>
</file>