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T:\Ieva\ES_atbalsts\ELFLA\lauku_saimniecibas_mod\2026\ravas\"/>
    </mc:Choice>
  </mc:AlternateContent>
  <xr:revisionPtr revIDLastSave="0" documentId="8_{3759A43B-C58A-4445-92CF-B92FA0BFBA94}" xr6:coauthVersionLast="45" xr6:coauthVersionMax="45" xr10:uidLastSave="{00000000-0000-0000-0000-000000000000}"/>
  <bookViews>
    <workbookView xWindow="-24540" yWindow="2190" windowWidth="18900" windowHeight="11055" tabRatio="754" xr2:uid="{00000000-000D-0000-FFFF-FFFF00000000}"/>
  </bookViews>
  <sheets>
    <sheet name="koptāme (2)" sheetId="37" r:id="rId1"/>
    <sheet name="Ikārta" sheetId="4" r:id="rId2"/>
    <sheet name="1-1" sheetId="14" r:id="rId3"/>
    <sheet name="Sheet8" sheetId="30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4" l="1"/>
  <c r="D44" i="14"/>
  <c r="D43" i="14"/>
  <c r="D41" i="14" s="1"/>
  <c r="C16" i="4"/>
  <c r="D29" i="14"/>
  <c r="D28" i="14"/>
  <c r="D27" i="14"/>
  <c r="D19" i="14"/>
  <c r="D18" i="14"/>
  <c r="D20" i="14"/>
  <c r="D26" i="14"/>
  <c r="D25" i="14"/>
  <c r="D35" i="14"/>
  <c r="D38" i="14"/>
  <c r="D36" i="14"/>
  <c r="D34" i="14"/>
  <c r="D33" i="14"/>
  <c r="D32" i="14"/>
  <c r="D23" i="14"/>
  <c r="D40" i="14" l="1"/>
  <c r="D42" i="14"/>
  <c r="J43" i="14"/>
  <c r="J44" i="14" l="1"/>
  <c r="K44" i="14" l="1"/>
  <c r="N18" i="14"/>
  <c r="M18" i="14"/>
  <c r="N17" i="14" l="1"/>
  <c r="M17" i="14"/>
  <c r="K17" i="14"/>
  <c r="J17" i="14"/>
  <c r="L17" i="14"/>
  <c r="O17" i="14" s="1"/>
  <c r="M43" i="14"/>
  <c r="N43" i="14"/>
  <c r="L43" i="14"/>
  <c r="L44" i="14"/>
  <c r="M44" i="14"/>
  <c r="N44" i="14"/>
  <c r="K43" i="14"/>
  <c r="L16" i="14"/>
  <c r="K16" i="14"/>
  <c r="M19" i="14"/>
  <c r="N19" i="14"/>
  <c r="M16" i="14"/>
  <c r="N16" i="14"/>
  <c r="O43" i="14" l="1"/>
  <c r="O44" i="14"/>
  <c r="K18" i="14"/>
  <c r="L18" i="14"/>
  <c r="O18" i="14" s="1"/>
  <c r="J18" i="14"/>
  <c r="N20" i="14"/>
  <c r="M20" i="14"/>
  <c r="J16" i="14"/>
  <c r="O16" i="14"/>
  <c r="L19" i="14" l="1"/>
  <c r="O19" i="14" s="1"/>
  <c r="J19" i="14"/>
  <c r="K19" i="14"/>
  <c r="K20" i="14" l="1"/>
  <c r="J20" i="14"/>
  <c r="L20" i="14"/>
  <c r="N21" i="14"/>
  <c r="M21" i="14"/>
  <c r="N24" i="14"/>
  <c r="M24" i="14"/>
  <c r="O20" i="14" l="1"/>
  <c r="M23" i="14"/>
  <c r="M22" i="14"/>
  <c r="N23" i="14"/>
  <c r="N22" i="14"/>
  <c r="J24" i="14" l="1"/>
  <c r="L24" i="14"/>
  <c r="O24" i="14" s="1"/>
  <c r="K24" i="14"/>
  <c r="M26" i="14"/>
  <c r="M25" i="14"/>
  <c r="N25" i="14"/>
  <c r="K21" i="14"/>
  <c r="J21" i="14"/>
  <c r="L21" i="14"/>
  <c r="O21" i="14" l="1"/>
  <c r="N26" i="14"/>
  <c r="K22" i="14"/>
  <c r="L22" i="14"/>
  <c r="O22" i="14" s="1"/>
  <c r="J22" i="14"/>
  <c r="M27" i="14"/>
  <c r="J23" i="14"/>
  <c r="K23" i="14"/>
  <c r="L23" i="14"/>
  <c r="O23" i="14" s="1"/>
  <c r="L25" i="14" l="1"/>
  <c r="O25" i="14" s="1"/>
  <c r="J25" i="14"/>
  <c r="K25" i="14"/>
  <c r="K26" i="14"/>
  <c r="J26" i="14"/>
  <c r="L26" i="14"/>
  <c r="O26" i="14" s="1"/>
  <c r="N27" i="14"/>
  <c r="M28" i="14" l="1"/>
  <c r="N28" i="14"/>
  <c r="K27" i="14"/>
  <c r="L27" i="14"/>
  <c r="O27" i="14" s="1"/>
  <c r="J27" i="14"/>
  <c r="N29" i="14" l="1"/>
  <c r="M29" i="14"/>
  <c r="K28" i="14"/>
  <c r="J28" i="14"/>
  <c r="L28" i="14"/>
  <c r="O28" i="14" s="1"/>
  <c r="J29" i="14" l="1"/>
  <c r="L29" i="14"/>
  <c r="O29" i="14" s="1"/>
  <c r="K29" i="14"/>
  <c r="M30" i="14"/>
  <c r="N30" i="14"/>
  <c r="J30" i="14" l="1"/>
  <c r="L30" i="14"/>
  <c r="O30" i="14" s="1"/>
  <c r="K30" i="14"/>
  <c r="M31" i="14"/>
  <c r="N31" i="14"/>
  <c r="L31" i="14" l="1"/>
  <c r="J31" i="14"/>
  <c r="K31" i="14"/>
  <c r="O31" i="14" l="1"/>
  <c r="F38" i="30" l="1"/>
  <c r="F37" i="30"/>
  <c r="F39" i="30" s="1"/>
  <c r="G39" i="30" s="1"/>
  <c r="F33" i="30"/>
  <c r="G33" i="30" s="1"/>
  <c r="P22" i="30"/>
  <c r="P23" i="30"/>
  <c r="P24" i="30"/>
  <c r="N23" i="30"/>
  <c r="N21" i="30"/>
  <c r="P21" i="30" s="1"/>
  <c r="P25" i="30" s="1"/>
  <c r="Q25" i="30" s="1"/>
  <c r="N18" i="30"/>
  <c r="P18" i="30" s="1"/>
  <c r="N16" i="30"/>
  <c r="P16" i="30" s="1"/>
  <c r="L17" i="30"/>
  <c r="N17" i="30" s="1"/>
  <c r="P17" i="30" s="1"/>
  <c r="M17" i="30"/>
  <c r="M15" i="30"/>
  <c r="L15" i="30"/>
  <c r="N15" i="30" s="1"/>
  <c r="P15" i="30" s="1"/>
  <c r="P19" i="30" s="1"/>
  <c r="Q19" i="30" s="1"/>
  <c r="M11" i="30"/>
  <c r="L11" i="30"/>
  <c r="N11" i="30" s="1"/>
  <c r="P11" i="30" s="1"/>
  <c r="N12" i="30"/>
  <c r="M9" i="30"/>
  <c r="L9" i="30"/>
  <c r="N9" i="30" s="1"/>
  <c r="P9" i="30" s="1"/>
  <c r="P12" i="30"/>
  <c r="N10" i="30"/>
  <c r="P10" i="30" s="1"/>
  <c r="P4" i="30"/>
  <c r="P5" i="30"/>
  <c r="P6" i="30"/>
  <c r="O6" i="30"/>
  <c r="O5" i="30"/>
  <c r="O4" i="30"/>
  <c r="O3" i="30"/>
  <c r="N5" i="30"/>
  <c r="N3" i="30"/>
  <c r="P3" i="30" s="1"/>
  <c r="P7" i="30" s="1"/>
  <c r="Q7" i="30" s="1"/>
  <c r="F29" i="30"/>
  <c r="F30" i="30"/>
  <c r="G30" i="30"/>
  <c r="F28" i="30"/>
  <c r="F24" i="30"/>
  <c r="F23" i="30"/>
  <c r="F25" i="30"/>
  <c r="F26" i="30"/>
  <c r="G26" i="30"/>
  <c r="E19" i="30"/>
  <c r="F19" i="30" s="1"/>
  <c r="F20" i="30" s="1"/>
  <c r="G20" i="30" s="1"/>
  <c r="F18" i="30"/>
  <c r="F15" i="30"/>
  <c r="G15" i="30" s="1"/>
  <c r="F14" i="30"/>
  <c r="F13" i="30"/>
  <c r="F5" i="30"/>
  <c r="F6" i="30"/>
  <c r="F7" i="30"/>
  <c r="F8" i="30"/>
  <c r="F9" i="30"/>
  <c r="F10" i="30"/>
  <c r="F4" i="30"/>
  <c r="F11" i="30" s="1"/>
  <c r="G11" i="30" s="1"/>
  <c r="E11" i="30"/>
  <c r="M32" i="14" l="1"/>
  <c r="N32" i="14"/>
  <c r="P13" i="30"/>
  <c r="Q13" i="30" s="1"/>
  <c r="N33" i="14" l="1"/>
  <c r="M33" i="14"/>
  <c r="J32" i="14"/>
  <c r="K32" i="14"/>
  <c r="L32" i="14"/>
  <c r="O32" i="14" l="1"/>
  <c r="J33" i="14"/>
  <c r="L33" i="14"/>
  <c r="O33" i="14" s="1"/>
  <c r="K33" i="14"/>
  <c r="M34" i="14"/>
  <c r="N34" i="14"/>
  <c r="L34" i="14" l="1"/>
  <c r="O34" i="14" s="1"/>
  <c r="J34" i="14"/>
  <c r="K34" i="14"/>
  <c r="N35" i="14"/>
  <c r="M35" i="14"/>
  <c r="M36" i="14" l="1"/>
  <c r="N36" i="14"/>
  <c r="K35" i="14"/>
  <c r="J35" i="14"/>
  <c r="L35" i="14"/>
  <c r="O35" i="14" s="1"/>
  <c r="K36" i="14" l="1"/>
  <c r="J36" i="14"/>
  <c r="L36" i="14"/>
  <c r="O36" i="14" s="1"/>
  <c r="M37" i="14"/>
  <c r="N37" i="14"/>
  <c r="N38" i="14" l="1"/>
  <c r="M38" i="14"/>
  <c r="K37" i="14"/>
  <c r="L37" i="14"/>
  <c r="O37" i="14" s="1"/>
  <c r="J37" i="14"/>
  <c r="M39" i="14" l="1"/>
  <c r="N39" i="14"/>
  <c r="J38" i="14"/>
  <c r="L38" i="14"/>
  <c r="O38" i="14" s="1"/>
  <c r="K38" i="14"/>
  <c r="J39" i="14" l="1"/>
  <c r="K39" i="14"/>
  <c r="L39" i="14"/>
  <c r="O39" i="14" s="1"/>
  <c r="N40" i="14"/>
  <c r="M40" i="14"/>
  <c r="L40" i="14" l="1"/>
  <c r="O40" i="14" s="1"/>
  <c r="J40" i="14"/>
  <c r="K40" i="14"/>
  <c r="N41" i="14" l="1"/>
  <c r="M41" i="14"/>
  <c r="M42" i="14"/>
  <c r="M45" i="14" l="1"/>
  <c r="F16" i="4" s="1"/>
  <c r="K42" i="14"/>
  <c r="L42" i="14"/>
  <c r="K41" i="14"/>
  <c r="J41" i="14"/>
  <c r="L41" i="14"/>
  <c r="O41" i="14" s="1"/>
  <c r="J42" i="14"/>
  <c r="N42" i="14"/>
  <c r="N45" i="14" s="1"/>
  <c r="G16" i="4" s="1"/>
  <c r="K45" i="14" l="1"/>
  <c r="O42" i="14"/>
  <c r="O45" i="14" s="1"/>
  <c r="L45" i="14"/>
  <c r="E16" i="4" s="1"/>
  <c r="D16" i="4" l="1"/>
  <c r="M10" i="14"/>
  <c r="F17" i="4"/>
  <c r="G17" i="4"/>
  <c r="E17" i="4"/>
  <c r="D17" i="4" l="1"/>
  <c r="D20" i="4" l="1"/>
  <c r="D18" i="4"/>
  <c r="D21" i="4" l="1"/>
  <c r="D10" i="4" s="1"/>
  <c r="C12" i="37" l="1"/>
  <c r="C15" i="37" s="1"/>
  <c r="C17" i="37" l="1"/>
  <c r="H16" i="4" l="1"/>
  <c r="H17" i="4" s="1"/>
  <c r="D11" i="4" s="1"/>
</calcChain>
</file>

<file path=xl/sharedStrings.xml><?xml version="1.0" encoding="utf-8"?>
<sst xmlns="http://schemas.openxmlformats.org/spreadsheetml/2006/main" count="161" uniqueCount="101">
  <si>
    <t>Būvniecības koptāme</t>
  </si>
  <si>
    <t> Nr.</t>
  </si>
  <si>
    <t> Objekta nosaukums</t>
  </si>
  <si>
    <t> Objekta izmaksas</t>
  </si>
  <si>
    <t>p.k.</t>
  </si>
  <si>
    <t>(Eur)</t>
  </si>
  <si>
    <t>  </t>
  </si>
  <si>
    <t> Kopā</t>
  </si>
  <si>
    <t>Pievienotās vērtības nodoklis (21% )</t>
  </si>
  <si>
    <t>Kopsavilkuma aprēķini pa darbu veidiem vai konstruktīvajiem elementiem</t>
  </si>
  <si>
    <t>(Darba veids vai konstruktīvā elementa nosaukums)</t>
  </si>
  <si>
    <t>Par kopējo summu, Eur</t>
  </si>
  <si>
    <t xml:space="preserve">Kopējā darbietilpība, c/st </t>
  </si>
  <si>
    <t> Nr.p.k.</t>
  </si>
  <si>
    <t>Kods, tāmes Nr.</t>
  </si>
  <si>
    <t>Būvdarba veids vai konstruktīvā elementa nosaukums</t>
  </si>
  <si>
    <t>Tāmes izmaksas</t>
  </si>
  <si>
    <t>Tai skaitā:</t>
  </si>
  <si>
    <t>Darbietilpība ( c/h)</t>
  </si>
  <si>
    <t>Darba alga</t>
  </si>
  <si>
    <t>Būvizstrādājumi</t>
  </si>
  <si>
    <t xml:space="preserve">Mehānismi </t>
  </si>
  <si>
    <t>T.sk.darba aizsardzība</t>
  </si>
  <si>
    <t>Pavisam kopā</t>
  </si>
  <si>
    <t> Mērvie-nība</t>
  </si>
  <si>
    <t> Dau-dzums</t>
  </si>
  <si>
    <t> Vienības izmaksas</t>
  </si>
  <si>
    <t> Kopā uz visu apjomu</t>
  </si>
  <si>
    <t>Būvdarbu nosaukums</t>
  </si>
  <si>
    <t> laika norma (c/h)</t>
  </si>
  <si>
    <t> darba samaksas likme (Eur/h)</t>
  </si>
  <si>
    <t xml:space="preserve"> darba alga </t>
  </si>
  <si>
    <t>būvizstrādājumi</t>
  </si>
  <si>
    <t xml:space="preserve"> mehā-nismi </t>
  </si>
  <si>
    <t xml:space="preserve"> kopā </t>
  </si>
  <si>
    <t> darbietilpī-ba (c/h)</t>
  </si>
  <si>
    <t>summa</t>
  </si>
  <si>
    <t>m3</t>
  </si>
  <si>
    <t>Tiešās izmaksas kopā, t. sk. darba devēja sociālais nodoklis (23,59%)</t>
  </si>
  <si>
    <t>Lokālā tāme Nr.1-1</t>
  </si>
  <si>
    <t>m2</t>
  </si>
  <si>
    <t>kpl</t>
  </si>
  <si>
    <t>m</t>
  </si>
  <si>
    <t>Sp1</t>
  </si>
  <si>
    <t>Sp2</t>
  </si>
  <si>
    <t>Sp3</t>
  </si>
  <si>
    <t>Sp4</t>
  </si>
  <si>
    <t>Sp5</t>
  </si>
  <si>
    <t>Sp6</t>
  </si>
  <si>
    <t>Sp7</t>
  </si>
  <si>
    <t>sienas</t>
  </si>
  <si>
    <t>bedre</t>
  </si>
  <si>
    <t>cehs</t>
  </si>
  <si>
    <t xml:space="preserve">sienas </t>
  </si>
  <si>
    <t>pelavas</t>
  </si>
  <si>
    <t>katls</t>
  </si>
  <si>
    <t>bufertorņi</t>
  </si>
  <si>
    <t xml:space="preserve">Peļņa 6% </t>
  </si>
  <si>
    <t> Kopā bez PVN</t>
  </si>
  <si>
    <t>12-1</t>
  </si>
  <si>
    <t>t</t>
  </si>
  <si>
    <t>Skābbarības tranšejas izbūve</t>
  </si>
  <si>
    <t>Pasūtītājs: SIA "Rāvas"</t>
  </si>
  <si>
    <t>Objekta  adrese:  "Rāvas", Blīdene, Blīdenes pag., Saldus novads</t>
  </si>
  <si>
    <t>Objekta nosaukums:  Skābbarības tranšejas izbūve</t>
  </si>
  <si>
    <t>gb</t>
  </si>
  <si>
    <t>Zemes rakšana mehanizēti, ieskaitot grunts transportu uz atbērtni</t>
  </si>
  <si>
    <r>
      <t>m</t>
    </r>
    <r>
      <rPr>
        <vertAlign val="superscript"/>
        <sz val="10"/>
        <color indexed="8"/>
        <rFont val="Times New Roman"/>
        <family val="1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</si>
  <si>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t>Inventāro un koka, saplākšņa veidņu uzstādīšana / demontāža</t>
  </si>
  <si>
    <r>
      <t>m</t>
    </r>
    <r>
      <rPr>
        <vertAlign val="superscript"/>
        <sz val="10"/>
        <color indexed="8"/>
        <rFont val="Times New Roman"/>
        <family val="1"/>
      </rPr>
      <t>2</t>
    </r>
    <r>
      <rPr>
        <sz val="11"/>
        <color theme="1"/>
        <rFont val="Calibri"/>
        <family val="2"/>
        <charset val="186"/>
        <scheme val="minor"/>
      </rPr>
      <t/>
    </r>
  </si>
  <si>
    <t>Tāme sastādīta 2026. gada tirgus cenās pamatojoties uz BK projekta sadaļām</t>
  </si>
  <si>
    <t>Skābbarības tranšejas ierīkošana</t>
  </si>
  <si>
    <t>Dz/b L elementu h=3,0m  montāža, ieskaitot šuvju monolitizēšanu,  hermetizāciju.</t>
  </si>
  <si>
    <t>Kanalizācijas akas d=1,5m ; h=2m  demontāža</t>
  </si>
  <si>
    <t>Betona kanāla betona pārseguma b=200 ar noteces atvērumiem ierīkošana</t>
  </si>
  <si>
    <t>Skābbarības suliņas savācējteknes ierīkošana</t>
  </si>
  <si>
    <t>Esošo un jauno dz/b elementu pamatu starpas  aizbēršana ar pievestu vid. rupju smilti blietējot pa kārtām</t>
  </si>
  <si>
    <t xml:space="preserve">Jauno dz/b atvalsta sienas elementu grunts uzbēruma ierīkošana ar esošu grunti, blietējot pa kārtām </t>
  </si>
  <si>
    <t>Uzbēruma un apkārtnes  planēšana, zālāja sēšana</t>
  </si>
  <si>
    <t>Pamatnes blietēts šķembu pamatojums zem grīdas fr.0-45mm, b=25cm</t>
  </si>
  <si>
    <t>Stiegrojuma un aptveru ierīkošana, ∅8;10mm, B500B, ieskaitot palīgmateriālus</t>
  </si>
  <si>
    <t>Blietēts šķembu pamatojums zem grīdas fr.0-45mm, b=8cm starp betona atbalsta sienām</t>
  </si>
  <si>
    <t>Asfaltbetona seguma ierīkošana skābbarības bedrei AC-11 virskārta 40mm, starpkārtu gruntēšanu</t>
  </si>
  <si>
    <t xml:space="preserve">Rupjgraudaina asfaltbetona seguma ierīkošana skābbarības bedrei  -  AC-22 pamatkārta 60mm, </t>
  </si>
  <si>
    <t>Labiekārtojuma  ierīkošana</t>
  </si>
  <si>
    <t>Pamatnes drenējošās smilts slāņa ierīkošana 20.cm, sablīvējot pa kārtām</t>
  </si>
  <si>
    <t>Cietās augstas izturības HARD SN8 drenāžas d=90, ģeotekstila apvalkā ierīkošana gar savācējtekni zem braucamās daļas ar pievienošanos esošai drenāžai, grants apbērums</t>
  </si>
  <si>
    <t>Drenāžas d=90, ģeotekstila apvalkā ierīkošana starp esošo un jauno dz/b atbalsta sienu ar pievienošanos esošai drenāžai, grants apbērums</t>
  </si>
  <si>
    <t>Pamatu asu ģeodēziskā nospraušana un uzlikšana dabā</t>
  </si>
  <si>
    <t>Grīdas stiegrošana starp atbalsta sienām - stiegru siets d4 150x150, ietverot palīgmateriālus un pārlaidumus, atgriezumus</t>
  </si>
  <si>
    <t>Pamatu betonēšana ar C30/37 XC2, ieskaitot betona transportēšanas un padošanas izmaksas</t>
  </si>
  <si>
    <t>Grīdas betonēšana ar  C30/37 XC2 starp atbalsta sienām   b=80mm,ierīkojot deformācijas šuves</t>
  </si>
  <si>
    <t xml:space="preserve">Izstrādāja: </t>
  </si>
  <si>
    <t xml:space="preserve">Virsizdevumi 9% </t>
  </si>
  <si>
    <t xml:space="preserve">                                                              paraksts, paraksta atšifrējums, datums</t>
  </si>
  <si>
    <t>Sertifikāta Nr. 4-05221</t>
  </si>
  <si>
    <t xml:space="preserve">                                              paraksts, paraksta atšifrējums, datums</t>
  </si>
  <si>
    <t xml:space="preserve">Sertifikāta Nr. </t>
  </si>
  <si>
    <t>Sastādija:                                  /A. Šaulis/ 15.04.2026</t>
  </si>
  <si>
    <t>Apstiprināja:                                  /                     / 15.04.2026</t>
  </si>
  <si>
    <t>Tāme sastādīta  2026.gada aprīlis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</si>
</sst>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 &quot;#,##0.00"/>
    <numFmt numFmtId="165" formatCode="_-* #,##0.00\ _€_-;\-* #,##0.00\ _€_-;_-* \-??\ _€_-;_-@_-"/>
    <numFmt numFmtId="166" formatCode="0.000"/>
    <numFmt numFmtId="167" formatCode="_-* #,##0.00\ _L_s_-;\-* #,##0.00\ _L_s_-;_-* &quot;-&quot;??\ _L_s_-;_-@_-"/>
  </numFmts>
  <fonts count="40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Times New Roman"/>
      <family val="1"/>
      <charset val="1"/>
    </font>
    <font>
      <sz val="12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"/>
    </font>
    <font>
      <b/>
      <sz val="10"/>
      <color indexed="63"/>
      <name val="Times New Roman"/>
      <family val="1"/>
      <charset val="1"/>
    </font>
    <font>
      <sz val="10"/>
      <color indexed="63"/>
      <name val="Times New Roman"/>
      <family val="1"/>
      <charset val="186"/>
    </font>
    <font>
      <sz val="8"/>
      <name val="Times New Roman"/>
      <family val="1"/>
      <charset val="186"/>
    </font>
    <font>
      <sz val="8"/>
      <color indexed="63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186"/>
    </font>
    <font>
      <sz val="10"/>
      <name val="Times New Roman"/>
      <family val="1"/>
    </font>
    <font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</font>
    <font>
      <sz val="10"/>
      <color theme="1"/>
      <name val="Times"/>
      <family val="1"/>
      <charset val="186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name val="RimHelvetica"/>
      <charset val="186"/>
    </font>
    <font>
      <vertAlign val="superscript"/>
      <sz val="10"/>
      <color indexed="8"/>
      <name val="Times New Roman"/>
      <family val="1"/>
    </font>
    <font>
      <sz val="11"/>
      <color indexed="8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29" fillId="0" borderId="0"/>
    <xf numFmtId="0" fontId="11" fillId="0" borderId="0"/>
    <xf numFmtId="0" fontId="30" fillId="0" borderId="0"/>
    <xf numFmtId="0" fontId="31" fillId="0" borderId="0"/>
    <xf numFmtId="0" fontId="11" fillId="0" borderId="0"/>
    <xf numFmtId="0" fontId="11" fillId="0" borderId="0"/>
    <xf numFmtId="0" fontId="29" fillId="0" borderId="0"/>
    <xf numFmtId="0" fontId="11" fillId="0" borderId="0" applyFont="0" applyFill="0" applyBorder="0" applyAlignment="0" applyProtection="0"/>
    <xf numFmtId="0" fontId="36" fillId="0" borderId="0"/>
    <xf numFmtId="0" fontId="1" fillId="0" borderId="0"/>
    <xf numFmtId="0" fontId="37" fillId="0" borderId="0"/>
    <xf numFmtId="0" fontId="11" fillId="0" borderId="0"/>
    <xf numFmtId="0" fontId="11" fillId="0" borderId="0"/>
    <xf numFmtId="0" fontId="29" fillId="0" borderId="0"/>
    <xf numFmtId="0" fontId="39" fillId="0" borderId="0"/>
  </cellStyleXfs>
  <cellXfs count="202">
    <xf numFmtId="0" fontId="0" fillId="0" borderId="0" xfId="0"/>
    <xf numFmtId="0" fontId="3" fillId="2" borderId="0" xfId="1" applyFont="1" applyFill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vertical="top"/>
    </xf>
    <xf numFmtId="0" fontId="4" fillId="0" borderId="0" xfId="1" applyFont="1" applyAlignment="1">
      <alignment vertical="top"/>
    </xf>
    <xf numFmtId="0" fontId="6" fillId="2" borderId="0" xfId="1" applyFont="1" applyFill="1" applyAlignment="1">
      <alignment vertical="top"/>
    </xf>
    <xf numFmtId="0" fontId="4" fillId="0" borderId="0" xfId="2" applyFont="1" applyAlignment="1">
      <alignment horizontal="left" vertical="top"/>
    </xf>
    <xf numFmtId="0" fontId="1" fillId="0" borderId="0" xfId="2" applyAlignment="1">
      <alignment vertical="top"/>
    </xf>
    <xf numFmtId="0" fontId="7" fillId="2" borderId="0" xfId="1" applyFont="1" applyFill="1"/>
    <xf numFmtId="165" fontId="14" fillId="2" borderId="0" xfId="1" applyNumberFormat="1" applyFont="1" applyFill="1" applyAlignment="1">
      <alignment vertical="top"/>
    </xf>
    <xf numFmtId="165" fontId="1" fillId="0" borderId="1" xfId="2" applyNumberFormat="1" applyBorder="1"/>
    <xf numFmtId="165" fontId="1" fillId="2" borderId="1" xfId="1" applyNumberFormat="1" applyFill="1" applyBorder="1"/>
    <xf numFmtId="165" fontId="1" fillId="0" borderId="0" xfId="2" applyNumberFormat="1"/>
    <xf numFmtId="165" fontId="1" fillId="0" borderId="0" xfId="2" applyNumberFormat="1" applyAlignment="1">
      <alignment vertical="top"/>
    </xf>
    <xf numFmtId="0" fontId="1" fillId="0" borderId="0" xfId="2"/>
    <xf numFmtId="165" fontId="15" fillId="0" borderId="0" xfId="2" applyNumberFormat="1" applyFont="1"/>
    <xf numFmtId="165" fontId="15" fillId="2" borderId="0" xfId="1" applyNumberFormat="1" applyFont="1" applyFill="1"/>
    <xf numFmtId="165" fontId="16" fillId="2" borderId="0" xfId="1" applyNumberFormat="1" applyFont="1" applyFill="1" applyAlignment="1">
      <alignment horizontal="center" vertical="center"/>
    </xf>
    <xf numFmtId="165" fontId="14" fillId="0" borderId="0" xfId="1" applyNumberFormat="1" applyFont="1" applyAlignment="1">
      <alignment vertical="top"/>
    </xf>
    <xf numFmtId="165" fontId="1" fillId="2" borderId="0" xfId="1" applyNumberFormat="1" applyFill="1"/>
    <xf numFmtId="2" fontId="1" fillId="0" borderId="0" xfId="2" applyNumberFormat="1"/>
    <xf numFmtId="0" fontId="1" fillId="0" borderId="0" xfId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justify"/>
    </xf>
    <xf numFmtId="0" fontId="1" fillId="0" borderId="0" xfId="2" applyAlignment="1">
      <alignment horizontal="right" vertical="top"/>
    </xf>
    <xf numFmtId="0" fontId="8" fillId="0" borderId="0" xfId="1" applyFont="1" applyAlignment="1">
      <alignment horizontal="right"/>
    </xf>
    <xf numFmtId="0" fontId="18" fillId="0" borderId="2" xfId="1" applyFont="1" applyBorder="1" applyAlignment="1">
      <alignment horizontal="center" wrapText="1"/>
    </xf>
    <xf numFmtId="0" fontId="9" fillId="0" borderId="0" xfId="1" applyFont="1"/>
    <xf numFmtId="0" fontId="18" fillId="0" borderId="6" xfId="1" applyFont="1" applyBorder="1" applyAlignment="1">
      <alignment horizontal="center" wrapText="1"/>
    </xf>
    <xf numFmtId="4" fontId="19" fillId="0" borderId="3" xfId="1" applyNumberFormat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top" wrapText="1"/>
    </xf>
    <xf numFmtId="0" fontId="19" fillId="0" borderId="3" xfId="1" applyFont="1" applyBorder="1" applyAlignment="1">
      <alignment horizontal="right" vertical="top" wrapText="1"/>
    </xf>
    <xf numFmtId="0" fontId="20" fillId="0" borderId="3" xfId="1" applyFont="1" applyBorder="1" applyAlignment="1">
      <alignment horizontal="right" vertical="top" wrapText="1"/>
    </xf>
    <xf numFmtId="4" fontId="20" fillId="0" borderId="3" xfId="1" applyNumberFormat="1" applyFont="1" applyBorder="1" applyAlignment="1">
      <alignment horizontal="center" vertical="top" wrapText="1"/>
    </xf>
    <xf numFmtId="0" fontId="19" fillId="0" borderId="0" xfId="1" applyFont="1" applyAlignment="1">
      <alignment horizontal="right" vertical="top" wrapText="1"/>
    </xf>
    <xf numFmtId="0" fontId="20" fillId="0" borderId="0" xfId="1" applyFont="1" applyAlignment="1">
      <alignment horizontal="right" vertical="top" wrapText="1"/>
    </xf>
    <xf numFmtId="4" fontId="19" fillId="0" borderId="0" xfId="1" applyNumberFormat="1" applyFont="1" applyAlignment="1">
      <alignment horizontal="center" vertical="top" wrapText="1"/>
    </xf>
    <xf numFmtId="0" fontId="19" fillId="0" borderId="3" xfId="1" applyFont="1" applyBorder="1"/>
    <xf numFmtId="0" fontId="19" fillId="0" borderId="3" xfId="1" applyFont="1" applyBorder="1" applyAlignment="1">
      <alignment vertical="top" wrapText="1"/>
    </xf>
    <xf numFmtId="4" fontId="19" fillId="0" borderId="5" xfId="1" applyNumberFormat="1" applyFont="1" applyBorder="1" applyAlignment="1">
      <alignment horizontal="center"/>
    </xf>
    <xf numFmtId="0" fontId="1" fillId="0" borderId="0" xfId="1" applyAlignment="1">
      <alignment horizontal="right"/>
    </xf>
    <xf numFmtId="0" fontId="18" fillId="0" borderId="0" xfId="1" applyFont="1" applyAlignment="1">
      <alignment horizontal="right" vertical="top" wrapText="1"/>
    </xf>
    <xf numFmtId="2" fontId="1" fillId="0" borderId="0" xfId="1" applyNumberFormat="1" applyAlignment="1">
      <alignment horizontal="center"/>
    </xf>
    <xf numFmtId="165" fontId="1" fillId="0" borderId="1" xfId="1" applyNumberFormat="1" applyBorder="1"/>
    <xf numFmtId="165" fontId="16" fillId="0" borderId="0" xfId="1" applyNumberFormat="1" applyFont="1" applyAlignment="1">
      <alignment horizontal="right" vertical="center"/>
    </xf>
    <xf numFmtId="165" fontId="1" fillId="0" borderId="0" xfId="1" applyNumberFormat="1"/>
    <xf numFmtId="165" fontId="14" fillId="0" borderId="1" xfId="1" applyNumberFormat="1" applyFont="1" applyBorder="1" applyAlignment="1">
      <alignment vertical="top"/>
    </xf>
    <xf numFmtId="0" fontId="17" fillId="0" borderId="0" xfId="1" applyFont="1" applyAlignment="1">
      <alignment horizontal="left"/>
    </xf>
    <xf numFmtId="0" fontId="17" fillId="0" borderId="1" xfId="1" applyFont="1" applyBorder="1" applyAlignment="1">
      <alignment horizontal="left"/>
    </xf>
    <xf numFmtId="0" fontId="1" fillId="0" borderId="1" xfId="1" applyBorder="1"/>
    <xf numFmtId="0" fontId="5" fillId="0" borderId="0" xfId="1" applyFont="1" applyAlignment="1">
      <alignment vertical="top" wrapText="1"/>
    </xf>
    <xf numFmtId="0" fontId="12" fillId="0" borderId="0" xfId="1" applyFont="1" applyAlignment="1">
      <alignment horizontal="left"/>
    </xf>
    <xf numFmtId="2" fontId="1" fillId="0" borderId="0" xfId="1" applyNumberFormat="1"/>
    <xf numFmtId="0" fontId="12" fillId="0" borderId="0" xfId="1" applyFont="1" applyAlignment="1">
      <alignment vertical="top"/>
    </xf>
    <xf numFmtId="0" fontId="1" fillId="0" borderId="3" xfId="2" applyBorder="1" applyAlignment="1">
      <alignment horizontal="right" vertical="top" wrapText="1"/>
    </xf>
    <xf numFmtId="0" fontId="18" fillId="0" borderId="3" xfId="2" applyFont="1" applyBorder="1" applyAlignment="1">
      <alignment horizontal="right" vertical="top" wrapText="1"/>
    </xf>
    <xf numFmtId="49" fontId="1" fillId="0" borderId="6" xfId="2" applyNumberFormat="1" applyBorder="1" applyAlignment="1">
      <alignment horizontal="right" vertical="top" wrapText="1"/>
    </xf>
    <xf numFmtId="0" fontId="18" fillId="0" borderId="6" xfId="2" applyFont="1" applyBorder="1" applyAlignment="1">
      <alignment horizontal="right" vertical="top" wrapText="1"/>
    </xf>
    <xf numFmtId="0" fontId="22" fillId="0" borderId="3" xfId="2" applyFont="1" applyBorder="1" applyAlignment="1">
      <alignment horizontal="right" vertical="top" wrapText="1"/>
    </xf>
    <xf numFmtId="0" fontId="1" fillId="0" borderId="0" xfId="2" applyAlignment="1">
      <alignment horizontal="right" vertical="top" wrapText="1"/>
    </xf>
    <xf numFmtId="0" fontId="18" fillId="0" borderId="0" xfId="2" applyFont="1" applyAlignment="1">
      <alignment horizontal="right" vertical="top" wrapText="1"/>
    </xf>
    <xf numFmtId="0" fontId="1" fillId="0" borderId="0" xfId="2" applyAlignment="1">
      <alignment horizontal="right"/>
    </xf>
    <xf numFmtId="165" fontId="15" fillId="0" borderId="0" xfId="1" applyNumberFormat="1" applyFont="1"/>
    <xf numFmtId="165" fontId="16" fillId="0" borderId="0" xfId="1" applyNumberFormat="1" applyFont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24" fillId="2" borderId="0" xfId="1" applyFont="1" applyFill="1"/>
    <xf numFmtId="0" fontId="25" fillId="2" borderId="0" xfId="1" applyFont="1" applyFill="1"/>
    <xf numFmtId="2" fontId="1" fillId="0" borderId="4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26" fillId="0" borderId="0" xfId="0" applyFont="1"/>
    <xf numFmtId="0" fontId="27" fillId="0" borderId="0" xfId="0" applyFont="1"/>
    <xf numFmtId="0" fontId="10" fillId="0" borderId="4" xfId="2" applyFont="1" applyBorder="1" applyAlignment="1">
      <alignment horizontal="center"/>
    </xf>
    <xf numFmtId="0" fontId="28" fillId="3" borderId="4" xfId="0" applyFont="1" applyFill="1" applyBorder="1" applyAlignment="1">
      <alignment horizontal="left" vertical="top" wrapText="1"/>
    </xf>
    <xf numFmtId="2" fontId="18" fillId="0" borderId="9" xfId="2" applyNumberFormat="1" applyFont="1" applyBorder="1" applyAlignment="1">
      <alignment horizontal="center"/>
    </xf>
    <xf numFmtId="2" fontId="18" fillId="0" borderId="12" xfId="2" applyNumberFormat="1" applyFont="1" applyBorder="1" applyAlignment="1">
      <alignment horizontal="center"/>
    </xf>
    <xf numFmtId="2" fontId="1" fillId="0" borderId="8" xfId="1" applyNumberFormat="1" applyBorder="1" applyAlignment="1">
      <alignment horizontal="center" wrapText="1"/>
    </xf>
    <xf numFmtId="2" fontId="1" fillId="0" borderId="12" xfId="1" applyNumberFormat="1" applyBorder="1" applyAlignment="1">
      <alignment horizontal="center" wrapText="1"/>
    </xf>
    <xf numFmtId="2" fontId="18" fillId="0" borderId="11" xfId="2" applyNumberFormat="1" applyFont="1" applyBorder="1" applyAlignment="1">
      <alignment horizontal="center"/>
    </xf>
    <xf numFmtId="0" fontId="9" fillId="0" borderId="3" xfId="2" applyFont="1" applyBorder="1" applyAlignment="1">
      <alignment horizontal="center" wrapText="1"/>
    </xf>
    <xf numFmtId="2" fontId="18" fillId="0" borderId="18" xfId="2" applyNumberFormat="1" applyFont="1" applyBorder="1" applyAlignment="1">
      <alignment horizontal="center"/>
    </xf>
    <xf numFmtId="0" fontId="9" fillId="0" borderId="16" xfId="1" applyFont="1" applyBorder="1" applyAlignment="1">
      <alignment horizontal="center" wrapText="1"/>
    </xf>
    <xf numFmtId="0" fontId="1" fillId="0" borderId="20" xfId="2" applyBorder="1" applyAlignment="1">
      <alignment horizontal="right" vertical="top" wrapText="1"/>
    </xf>
    <xf numFmtId="0" fontId="18" fillId="0" borderId="8" xfId="2" applyFont="1" applyBorder="1" applyAlignment="1">
      <alignment horizontal="right" vertical="top" wrapText="1"/>
    </xf>
    <xf numFmtId="2" fontId="18" fillId="0" borderId="21" xfId="2" applyNumberFormat="1" applyFont="1" applyBorder="1" applyAlignment="1">
      <alignment horizontal="center"/>
    </xf>
    <xf numFmtId="2" fontId="18" fillId="0" borderId="22" xfId="2" applyNumberFormat="1" applyFont="1" applyBorder="1" applyAlignment="1">
      <alignment horizontal="center"/>
    </xf>
    <xf numFmtId="49" fontId="18" fillId="0" borderId="2" xfId="1" applyNumberFormat="1" applyFont="1" applyBorder="1" applyAlignment="1">
      <alignment horizontal="center" wrapText="1"/>
    </xf>
    <xf numFmtId="0" fontId="21" fillId="0" borderId="2" xfId="1" applyFont="1" applyBorder="1" applyAlignment="1">
      <alignment wrapText="1"/>
    </xf>
    <xf numFmtId="2" fontId="1" fillId="0" borderId="2" xfId="1" applyNumberFormat="1" applyBorder="1" applyAlignment="1">
      <alignment horizontal="center"/>
    </xf>
    <xf numFmtId="0" fontId="1" fillId="0" borderId="23" xfId="2" applyBorder="1" applyAlignment="1">
      <alignment horizontal="right" vertical="top" wrapText="1"/>
    </xf>
    <xf numFmtId="49" fontId="1" fillId="0" borderId="24" xfId="2" applyNumberFormat="1" applyBorder="1" applyAlignment="1">
      <alignment horizontal="right" vertical="top" wrapText="1"/>
    </xf>
    <xf numFmtId="0" fontId="18" fillId="0" borderId="24" xfId="2" applyFont="1" applyBorder="1" applyAlignment="1">
      <alignment horizontal="right" vertical="top" wrapText="1"/>
    </xf>
    <xf numFmtId="2" fontId="18" fillId="0" borderId="25" xfId="2" applyNumberFormat="1" applyFont="1" applyBorder="1" applyAlignment="1">
      <alignment horizontal="center"/>
    </xf>
    <xf numFmtId="0" fontId="1" fillId="0" borderId="26" xfId="2" applyBorder="1" applyAlignment="1">
      <alignment horizontal="right" vertical="top" wrapText="1"/>
    </xf>
    <xf numFmtId="0" fontId="1" fillId="0" borderId="27" xfId="2" applyBorder="1" applyAlignment="1">
      <alignment horizontal="right" vertical="top" wrapText="1"/>
    </xf>
    <xf numFmtId="0" fontId="1" fillId="0" borderId="8" xfId="2" applyBorder="1" applyAlignment="1">
      <alignment horizontal="right" vertical="top" wrapText="1"/>
    </xf>
    <xf numFmtId="0" fontId="4" fillId="0" borderId="0" xfId="0" applyFont="1"/>
    <xf numFmtId="0" fontId="9" fillId="0" borderId="4" xfId="2" applyFont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" fontId="19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vertical="top"/>
    </xf>
    <xf numFmtId="0" fontId="1" fillId="0" borderId="3" xfId="1" applyBorder="1" applyAlignment="1">
      <alignment horizontal="center" vertical="center"/>
    </xf>
    <xf numFmtId="0" fontId="18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left"/>
    </xf>
    <xf numFmtId="0" fontId="19" fillId="0" borderId="2" xfId="1" applyFont="1" applyBorder="1" applyAlignment="1">
      <alignment horizontal="center"/>
    </xf>
    <xf numFmtId="0" fontId="19" fillId="0" borderId="2" xfId="1" applyFont="1" applyBorder="1" applyAlignment="1">
      <alignment horizontal="left"/>
    </xf>
    <xf numFmtId="165" fontId="14" fillId="2" borderId="0" xfId="1" applyNumberFormat="1" applyFont="1" applyFill="1" applyAlignment="1">
      <alignment horizontal="center" vertical="center"/>
    </xf>
    <xf numFmtId="2" fontId="1" fillId="0" borderId="0" xfId="2" applyNumberFormat="1" applyAlignment="1">
      <alignment vertical="top"/>
    </xf>
    <xf numFmtId="0" fontId="10" fillId="0" borderId="17" xfId="2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4" fontId="32" fillId="0" borderId="0" xfId="0" applyNumberFormat="1" applyFont="1" applyAlignment="1">
      <alignment horizontal="center" vertical="center"/>
    </xf>
    <xf numFmtId="0" fontId="32" fillId="0" borderId="0" xfId="0" applyFont="1"/>
    <xf numFmtId="0" fontId="33" fillId="0" borderId="0" xfId="0" applyFont="1" applyAlignment="1">
      <alignment horizontal="left" vertical="top"/>
    </xf>
    <xf numFmtId="0" fontId="33" fillId="0" borderId="0" xfId="0" applyFont="1" applyAlignment="1">
      <alignment horizontal="left" vertical="center"/>
    </xf>
    <xf numFmtId="0" fontId="23" fillId="3" borderId="4" xfId="0" applyFont="1" applyFill="1" applyBorder="1" applyAlignment="1">
      <alignment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2" fontId="1" fillId="2" borderId="0" xfId="1" applyNumberForma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2" fontId="8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 wrapText="1"/>
    </xf>
    <xf numFmtId="2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165" fontId="14" fillId="2" borderId="1" xfId="1" applyNumberFormat="1" applyFont="1" applyFill="1" applyBorder="1" applyAlignment="1">
      <alignment horizontal="center" vertical="center"/>
    </xf>
    <xf numFmtId="165" fontId="1" fillId="0" borderId="1" xfId="2" applyNumberFormat="1" applyBorder="1" applyAlignment="1">
      <alignment horizontal="center" vertical="center"/>
    </xf>
    <xf numFmtId="165" fontId="1" fillId="0" borderId="0" xfId="2" applyNumberForma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15" fillId="0" borderId="0" xfId="2" applyNumberFormat="1" applyFont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34" fillId="0" borderId="4" xfId="7" applyFont="1" applyBorder="1" applyAlignment="1">
      <alignment horizontal="center" vertical="center" wrapText="1"/>
    </xf>
    <xf numFmtId="0" fontId="35" fillId="3" borderId="4" xfId="12" applyFont="1" applyFill="1" applyBorder="1" applyAlignment="1">
      <alignment horizontal="center" vertical="center"/>
    </xf>
    <xf numFmtId="2" fontId="23" fillId="3" borderId="4" xfId="7" applyNumberFormat="1" applyFont="1" applyFill="1" applyBorder="1" applyAlignment="1">
      <alignment horizontal="center" vertical="center" wrapText="1"/>
    </xf>
    <xf numFmtId="0" fontId="35" fillId="0" borderId="4" xfId="12" applyFont="1" applyBorder="1" applyAlignment="1">
      <alignment horizontal="center" vertical="center" textRotation="90" wrapText="1"/>
    </xf>
    <xf numFmtId="167" fontId="35" fillId="0" borderId="4" xfId="13" applyNumberFormat="1" applyFont="1" applyFill="1" applyBorder="1" applyAlignment="1">
      <alignment horizontal="center" vertical="center" textRotation="90" wrapText="1"/>
    </xf>
    <xf numFmtId="0" fontId="23" fillId="0" borderId="4" xfId="7" applyFont="1" applyBorder="1" applyAlignment="1">
      <alignment horizontal="left" vertical="center" wrapText="1"/>
    </xf>
    <xf numFmtId="1" fontId="23" fillId="3" borderId="4" xfId="7" applyNumberFormat="1" applyFont="1" applyFill="1" applyBorder="1" applyAlignment="1">
      <alignment horizontal="center" vertical="center" wrapText="1"/>
    </xf>
    <xf numFmtId="4" fontId="23" fillId="0" borderId="4" xfId="14" applyNumberFormat="1" applyFont="1" applyBorder="1" applyAlignment="1">
      <alignment horizontal="center" vertical="center"/>
    </xf>
    <xf numFmtId="2" fontId="23" fillId="3" borderId="4" xfId="15" applyNumberFormat="1" applyFont="1" applyFill="1" applyBorder="1" applyAlignment="1">
      <alignment horizontal="center" vertical="center" wrapText="1"/>
    </xf>
    <xf numFmtId="4" fontId="23" fillId="0" borderId="4" xfId="16" applyNumberFormat="1" applyFont="1" applyBorder="1" applyAlignment="1">
      <alignment horizontal="center" vertical="center"/>
    </xf>
    <xf numFmtId="0" fontId="23" fillId="3" borderId="4" xfId="0" applyFont="1" applyFill="1" applyBorder="1" applyAlignment="1">
      <alignment horizontal="left" vertical="center" wrapText="1"/>
    </xf>
    <xf numFmtId="2" fontId="23" fillId="3" borderId="4" xfId="17" applyNumberFormat="1" applyFont="1" applyFill="1" applyBorder="1" applyAlignment="1">
      <alignment horizontal="center" vertical="center"/>
    </xf>
    <xf numFmtId="2" fontId="1" fillId="3" borderId="4" xfId="10" applyNumberFormat="1" applyFont="1" applyFill="1" applyBorder="1" applyAlignment="1">
      <alignment horizontal="center" vertical="center"/>
    </xf>
    <xf numFmtId="1" fontId="23" fillId="3" borderId="4" xfId="0" applyNumberFormat="1" applyFont="1" applyFill="1" applyBorder="1" applyAlignment="1">
      <alignment horizontal="center" vertical="center"/>
    </xf>
    <xf numFmtId="2" fontId="23" fillId="3" borderId="4" xfId="0" applyNumberFormat="1" applyFont="1" applyFill="1" applyBorder="1" applyAlignment="1">
      <alignment horizontal="center" vertical="center"/>
    </xf>
    <xf numFmtId="0" fontId="33" fillId="3" borderId="4" xfId="18" applyFont="1" applyFill="1" applyBorder="1" applyAlignment="1">
      <alignment horizontal="left" vertical="center" wrapText="1"/>
    </xf>
    <xf numFmtId="0" fontId="23" fillId="3" borderId="4" xfId="19" applyFont="1" applyFill="1" applyBorder="1" applyAlignment="1">
      <alignment horizontal="center" vertical="center"/>
    </xf>
    <xf numFmtId="166" fontId="23" fillId="3" borderId="4" xfId="0" applyNumberFormat="1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vertical="center" wrapText="1"/>
    </xf>
    <xf numFmtId="0" fontId="9" fillId="0" borderId="28" xfId="2" applyFont="1" applyBorder="1" applyAlignment="1">
      <alignment horizontal="center"/>
    </xf>
    <xf numFmtId="0" fontId="9" fillId="0" borderId="29" xfId="2" applyFont="1" applyBorder="1" applyAlignment="1">
      <alignment horizontal="center" wrapText="1"/>
    </xf>
    <xf numFmtId="0" fontId="9" fillId="0" borderId="17" xfId="2" applyFont="1" applyBorder="1" applyAlignment="1">
      <alignment horizontal="center"/>
    </xf>
    <xf numFmtId="0" fontId="9" fillId="0" borderId="13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/>
    </xf>
    <xf numFmtId="0" fontId="33" fillId="3" borderId="17" xfId="7" applyFont="1" applyFill="1" applyBorder="1" applyAlignment="1">
      <alignment horizontal="center" vertical="center"/>
    </xf>
    <xf numFmtId="0" fontId="35" fillId="0" borderId="13" xfId="12" applyFont="1" applyBorder="1" applyAlignment="1">
      <alignment horizontal="center" vertical="center" textRotation="90" wrapText="1"/>
    </xf>
    <xf numFmtId="4" fontId="23" fillId="0" borderId="13" xfId="16" applyNumberFormat="1" applyFont="1" applyBorder="1" applyAlignment="1">
      <alignment horizontal="center" vertical="center"/>
    </xf>
    <xf numFmtId="0" fontId="1" fillId="0" borderId="31" xfId="2" applyBorder="1" applyAlignment="1">
      <alignment vertical="top"/>
    </xf>
    <xf numFmtId="0" fontId="13" fillId="2" borderId="14" xfId="1" applyFont="1" applyFill="1" applyBorder="1"/>
    <xf numFmtId="0" fontId="18" fillId="0" borderId="14" xfId="2" applyFont="1" applyBorder="1" applyAlignment="1">
      <alignment horizontal="right" vertical="top"/>
    </xf>
    <xf numFmtId="0" fontId="18" fillId="0" borderId="14" xfId="2" applyFont="1" applyBorder="1" applyAlignment="1">
      <alignment horizontal="center" vertical="center"/>
    </xf>
    <xf numFmtId="2" fontId="18" fillId="0" borderId="14" xfId="2" applyNumberFormat="1" applyFont="1" applyBorder="1" applyAlignment="1">
      <alignment horizontal="center" vertical="center" wrapText="1"/>
    </xf>
    <xf numFmtId="2" fontId="18" fillId="0" borderId="32" xfId="2" applyNumberFormat="1" applyFont="1" applyBorder="1" applyAlignment="1">
      <alignment horizontal="center" vertical="center" wrapText="1"/>
    </xf>
    <xf numFmtId="0" fontId="33" fillId="3" borderId="0" xfId="0" applyFont="1" applyFill="1" applyAlignment="1">
      <alignment horizontal="center" vertical="center"/>
    </xf>
    <xf numFmtId="0" fontId="4" fillId="0" borderId="1" xfId="1" applyFont="1" applyBorder="1"/>
    <xf numFmtId="2" fontId="18" fillId="3" borderId="4" xfId="7" applyNumberFormat="1" applyFont="1" applyFill="1" applyBorder="1" applyAlignment="1">
      <alignment horizontal="center" vertical="center" wrapText="1"/>
    </xf>
    <xf numFmtId="0" fontId="35" fillId="2" borderId="1" xfId="20" applyFont="1" applyFill="1" applyBorder="1"/>
    <xf numFmtId="0" fontId="35" fillId="2" borderId="0" xfId="20" applyFont="1" applyFill="1" applyAlignment="1">
      <alignment horizontal="center"/>
    </xf>
    <xf numFmtId="0" fontId="35" fillId="2" borderId="0" xfId="20" applyFont="1" applyFill="1"/>
    <xf numFmtId="0" fontId="1" fillId="0" borderId="0" xfId="0" applyFont="1" applyAlignment="1">
      <alignment horizontal="center"/>
    </xf>
    <xf numFmtId="0" fontId="17" fillId="0" borderId="0" xfId="1" applyFont="1" applyAlignment="1">
      <alignment horizontal="center"/>
    </xf>
    <xf numFmtId="0" fontId="4" fillId="0" borderId="0" xfId="1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8" fillId="0" borderId="3" xfId="1" applyFont="1" applyBorder="1" applyAlignment="1">
      <alignment horizontal="center" wrapText="1"/>
    </xf>
    <xf numFmtId="0" fontId="15" fillId="0" borderId="0" xfId="1" applyFont="1" applyAlignment="1">
      <alignment horizontal="center"/>
    </xf>
    <xf numFmtId="0" fontId="9" fillId="0" borderId="15" xfId="1" applyFont="1" applyBorder="1" applyAlignment="1">
      <alignment horizontal="center" wrapText="1"/>
    </xf>
    <xf numFmtId="0" fontId="9" fillId="0" borderId="16" xfId="1" applyFont="1" applyBorder="1" applyAlignment="1">
      <alignment horizontal="center" wrapText="1"/>
    </xf>
    <xf numFmtId="0" fontId="9" fillId="0" borderId="19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7" xfId="2" applyFont="1" applyBorder="1" applyAlignment="1">
      <alignment horizontal="center" wrapText="1"/>
    </xf>
    <xf numFmtId="0" fontId="9" fillId="0" borderId="3" xfId="2" applyFont="1" applyBorder="1" applyAlignment="1">
      <alignment horizontal="center" wrapText="1"/>
    </xf>
    <xf numFmtId="0" fontId="18" fillId="0" borderId="7" xfId="2" applyFont="1" applyBorder="1" applyAlignment="1">
      <alignment horizontal="center"/>
    </xf>
    <xf numFmtId="0" fontId="9" fillId="0" borderId="10" xfId="2" applyFont="1" applyBorder="1" applyAlignment="1">
      <alignment horizontal="center" wrapText="1"/>
    </xf>
    <xf numFmtId="0" fontId="9" fillId="0" borderId="11" xfId="2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2" fillId="2" borderId="0" xfId="1" applyFont="1" applyFill="1" applyAlignment="1">
      <alignment horizontal="center"/>
    </xf>
    <xf numFmtId="164" fontId="7" fillId="2" borderId="0" xfId="1" applyNumberFormat="1" applyFont="1" applyFill="1" applyAlignment="1">
      <alignment horizontal="center" vertical="center"/>
    </xf>
    <xf numFmtId="0" fontId="9" fillId="0" borderId="29" xfId="2" applyFont="1" applyBorder="1" applyAlignment="1">
      <alignment horizontal="center" wrapText="1"/>
    </xf>
    <xf numFmtId="0" fontId="9" fillId="0" borderId="4" xfId="2" applyFont="1" applyBorder="1" applyAlignment="1">
      <alignment horizontal="center" wrapText="1"/>
    </xf>
    <xf numFmtId="2" fontId="9" fillId="0" borderId="29" xfId="2" applyNumberFormat="1" applyFont="1" applyBorder="1" applyAlignment="1">
      <alignment horizontal="center" vertical="center" wrapText="1"/>
    </xf>
    <xf numFmtId="2" fontId="9" fillId="0" borderId="4" xfId="2" applyNumberFormat="1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30" xfId="2" applyFont="1" applyBorder="1" applyAlignment="1">
      <alignment horizontal="center" vertical="center" wrapText="1"/>
    </xf>
  </cellXfs>
  <cellStyles count="21">
    <cellStyle name="Comma_Sheet1 2" xfId="13" xr:uid="{3D1525A4-F43F-4205-AAF8-99227C47E2A7}"/>
    <cellStyle name="Excel Built-in Normal 1" xfId="3" xr:uid="{00000000-0005-0000-0000-000000000000}"/>
    <cellStyle name="Excel Built-in Normal 1 1" xfId="2" xr:uid="{00000000-0005-0000-0000-000001000000}"/>
    <cellStyle name="Excel Built-in Normal 2" xfId="1" xr:uid="{00000000-0005-0000-0000-000002000000}"/>
    <cellStyle name="Normal" xfId="0" builtinId="0"/>
    <cellStyle name="Normal 2 2" xfId="9" xr:uid="{056C0F5D-4753-4A3A-BABC-0D543AF26664}"/>
    <cellStyle name="Normal 2 2 2" xfId="7" xr:uid="{BFDCB353-9535-4165-B0BD-80A4D834C19C}"/>
    <cellStyle name="Normal 2 2 2 2" xfId="11" xr:uid="{05443D37-EA85-479F-9F17-98D7030CC903}"/>
    <cellStyle name="Normal 3" xfId="10" xr:uid="{5928BAD9-5CD0-4DFE-8A4A-352EB41CF1E8}"/>
    <cellStyle name="Normal 41" xfId="8" xr:uid="{A3504F06-DBF0-4ED4-A445-4529A3483C5E}"/>
    <cellStyle name="Normal_Jauna Novadnieki" xfId="16" xr:uid="{5D87FF4E-15EB-443B-A269-435E4E113889}"/>
    <cellStyle name="Normal_Sheet1 2" xfId="12" xr:uid="{46AB36FD-A2F7-40C8-844D-EE892645E30E}"/>
    <cellStyle name="Normal_t_sablons5" xfId="19" xr:uid="{787D4FB7-7882-44DB-85AF-4B2A2E6FCDE7}"/>
    <cellStyle name="Normal_tamlok" xfId="15" xr:uid="{E33ADCEC-C724-459E-ADCE-C9244CF0F0C4}"/>
    <cellStyle name="Parastais 7" xfId="18" xr:uid="{F42EE74B-0C2F-4AFA-B11B-93FB3E712BF9}"/>
    <cellStyle name="Parastais_350E m2KESKO  2" xfId="5" xr:uid="{00000000-0005-0000-0000-000005000000}"/>
    <cellStyle name="Parasts 3" xfId="14" xr:uid="{74E9E538-1EE5-4193-9A7E-7F57B396BBE4}"/>
    <cellStyle name="Parasts 7" xfId="20" xr:uid="{3F619013-D8AF-4339-BD02-79A49A69AEF0}"/>
    <cellStyle name="Stils 1" xfId="6" xr:uid="{00000000-0005-0000-0000-000007000000}"/>
    <cellStyle name="Обычный_33. OZOLNIEKU NOVADA DOME_OZO SKOLA_TELPU, GAITENU, KAPNU TELPU REMONTS_TAME_VADIMS_2011_02_25_melnraksts" xfId="4" xr:uid="{00000000-0005-0000-0000-000008000000}"/>
    <cellStyle name="Обычный_33. OZOLNIEKU NOVADA DOME_OZO SKOLA_TELPU, GAITENU, KAPNU TELPU REMONTS_TAME_VADIMS_2011_02_25_melnraksts 2" xfId="17" xr:uid="{994D2845-07B6-4AE8-A9B5-DEAE37C83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AJ26"/>
  <sheetViews>
    <sheetView tabSelected="1" workbookViewId="0">
      <selection activeCell="F3" sqref="F3:F4"/>
    </sheetView>
  </sheetViews>
  <sheetFormatPr defaultColWidth="8.42578125" defaultRowHeight="12.75"/>
  <cols>
    <col min="1" max="1" width="10.42578125" style="23" customWidth="1"/>
    <col min="2" max="2" width="47.140625" style="23" customWidth="1"/>
    <col min="3" max="3" width="16" style="23" customWidth="1"/>
    <col min="4" max="16384" width="8.42578125" style="23"/>
  </cols>
  <sheetData>
    <row r="1" spans="1:36" ht="18.75" customHeight="1">
      <c r="A1" s="179" t="s">
        <v>0</v>
      </c>
      <c r="B1" s="179"/>
      <c r="C1" s="179"/>
    </row>
    <row r="2" spans="1:36" ht="15.75" customHeight="1">
      <c r="A2" s="24"/>
    </row>
    <row r="3" spans="1:36" ht="17.25" customHeight="1">
      <c r="A3" s="180" t="s">
        <v>64</v>
      </c>
      <c r="B3" s="180"/>
      <c r="C3" s="180"/>
      <c r="D3" s="6"/>
    </row>
    <row r="4" spans="1:36" ht="15.75" customHeight="1">
      <c r="A4" s="104" t="s">
        <v>63</v>
      </c>
      <c r="B4" s="6"/>
      <c r="C4" s="6"/>
    </row>
    <row r="5" spans="1:36" s="99" customFormat="1" ht="15.75" customHeight="1">
      <c r="A5" s="99" t="s">
        <v>62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</row>
    <row r="6" spans="1:36" s="99" customFormat="1" ht="15.75" customHeight="1">
      <c r="A6" s="99" t="s">
        <v>92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</row>
    <row r="7" spans="1:36" ht="15.75" customHeight="1">
      <c r="A7" s="25"/>
    </row>
    <row r="8" spans="1:36" ht="12.75" customHeight="1">
      <c r="C8" s="26" t="s">
        <v>100</v>
      </c>
    </row>
    <row r="9" spans="1:36" ht="15.75">
      <c r="A9" s="27"/>
    </row>
    <row r="10" spans="1:36" s="29" customFormat="1">
      <c r="A10" s="28" t="s">
        <v>1</v>
      </c>
      <c r="B10" s="182" t="s">
        <v>2</v>
      </c>
      <c r="C10" s="28" t="s">
        <v>3</v>
      </c>
    </row>
    <row r="11" spans="1:36" s="29" customFormat="1">
      <c r="A11" s="30" t="s">
        <v>4</v>
      </c>
      <c r="B11" s="182"/>
      <c r="C11" s="30" t="s">
        <v>5</v>
      </c>
    </row>
    <row r="12" spans="1:36" s="107" customFormat="1" ht="15">
      <c r="A12" s="105">
        <v>1</v>
      </c>
      <c r="B12" s="106" t="s">
        <v>61</v>
      </c>
      <c r="C12" s="103">
        <f>Ikārta!D21</f>
        <v>0</v>
      </c>
    </row>
    <row r="13" spans="1:36" ht="15">
      <c r="A13" s="108"/>
      <c r="B13" s="109"/>
      <c r="C13" s="31"/>
    </row>
    <row r="14" spans="1:36" ht="15">
      <c r="A14" s="110"/>
      <c r="B14" s="111"/>
      <c r="C14" s="32"/>
    </row>
    <row r="15" spans="1:36" ht="15">
      <c r="A15" s="33" t="s">
        <v>6</v>
      </c>
      <c r="B15" s="34" t="s">
        <v>58</v>
      </c>
      <c r="C15" s="35">
        <f>SUM(C12:C14)</f>
        <v>0</v>
      </c>
    </row>
    <row r="16" spans="1:36" ht="15">
      <c r="A16" s="36"/>
      <c r="B16" s="37"/>
      <c r="C16" s="38"/>
    </row>
    <row r="17" spans="1:3" ht="15">
      <c r="A17" s="39"/>
      <c r="B17" s="40" t="s">
        <v>8</v>
      </c>
      <c r="C17" s="41">
        <f>C15*0.21</f>
        <v>0</v>
      </c>
    </row>
    <row r="18" spans="1:3" ht="57" customHeight="1">
      <c r="A18" s="42"/>
      <c r="B18" s="43"/>
      <c r="C18" s="44"/>
    </row>
    <row r="19" spans="1:3">
      <c r="A19" s="20"/>
      <c r="B19" s="175" t="s">
        <v>98</v>
      </c>
      <c r="C19" s="45"/>
    </row>
    <row r="20" spans="1:3">
      <c r="A20" s="20"/>
      <c r="B20" s="176" t="s">
        <v>94</v>
      </c>
      <c r="C20" s="46"/>
    </row>
    <row r="21" spans="1:3" ht="12.75" customHeight="1">
      <c r="A21" s="20"/>
      <c r="B21" s="177" t="s">
        <v>95</v>
      </c>
      <c r="C21" s="47"/>
    </row>
    <row r="22" spans="1:3">
      <c r="A22" s="20"/>
      <c r="B22" s="177"/>
      <c r="C22" s="47"/>
    </row>
    <row r="23" spans="1:3" ht="12.75" customHeight="1">
      <c r="A23" s="20"/>
      <c r="B23" s="175" t="s">
        <v>99</v>
      </c>
      <c r="C23" s="45"/>
    </row>
    <row r="24" spans="1:3" ht="12.75" customHeight="1">
      <c r="A24" s="20"/>
      <c r="B24" s="178" t="s">
        <v>96</v>
      </c>
      <c r="C24" s="46"/>
    </row>
    <row r="25" spans="1:3" ht="12.75" customHeight="1">
      <c r="A25" s="20"/>
      <c r="B25" s="177" t="s">
        <v>97</v>
      </c>
      <c r="C25" s="48"/>
    </row>
    <row r="26" spans="1:3" ht="12.75" customHeight="1">
      <c r="A26" s="16"/>
      <c r="B26" s="16"/>
      <c r="C26" s="16"/>
    </row>
  </sheetData>
  <mergeCells count="5">
    <mergeCell ref="A1:C1"/>
    <mergeCell ref="A3:C3"/>
    <mergeCell ref="D5:AJ5"/>
    <mergeCell ref="D6:AJ6"/>
    <mergeCell ref="B10:B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rgb="FFFFC000"/>
  </sheetPr>
  <dimension ref="A1:AJ35"/>
  <sheetViews>
    <sheetView workbookViewId="0">
      <selection activeCell="D24" sqref="D24"/>
    </sheetView>
  </sheetViews>
  <sheetFormatPr defaultColWidth="8.42578125" defaultRowHeight="12.75"/>
  <cols>
    <col min="1" max="1" width="4.5703125" style="23" customWidth="1"/>
    <col min="2" max="2" width="8" style="23" customWidth="1"/>
    <col min="3" max="3" width="44.28515625" style="23" customWidth="1"/>
    <col min="4" max="4" width="12.28515625" style="23" customWidth="1"/>
    <col min="5" max="5" width="10.140625" style="23" customWidth="1"/>
    <col min="6" max="6" width="12.7109375" style="23" customWidth="1"/>
    <col min="7" max="7" width="10.140625" style="23" customWidth="1"/>
    <col min="8" max="8" width="10.28515625" style="23" customWidth="1"/>
    <col min="9" max="16384" width="8.42578125" style="23"/>
  </cols>
  <sheetData>
    <row r="1" spans="1:36" ht="18.75" customHeight="1">
      <c r="A1" s="179" t="s">
        <v>9</v>
      </c>
      <c r="B1" s="179"/>
      <c r="C1" s="179"/>
      <c r="D1" s="179"/>
      <c r="E1" s="179"/>
      <c r="F1" s="179"/>
      <c r="G1" s="179"/>
      <c r="H1" s="179"/>
    </row>
    <row r="2" spans="1:36" ht="18.75" customHeight="1">
      <c r="A2" s="49"/>
      <c r="B2" s="50"/>
      <c r="C2" s="193" t="s">
        <v>61</v>
      </c>
      <c r="D2" s="193"/>
      <c r="E2" s="193"/>
      <c r="F2" s="51"/>
    </row>
    <row r="3" spans="1:36" ht="15.75">
      <c r="A3" s="24"/>
      <c r="B3" s="24"/>
      <c r="C3" s="183" t="s">
        <v>10</v>
      </c>
      <c r="D3" s="183"/>
      <c r="E3" s="183"/>
      <c r="F3" s="183"/>
    </row>
    <row r="4" spans="1:36" ht="15.75" customHeight="1">
      <c r="A4" s="4"/>
      <c r="B4" s="52"/>
      <c r="C4" s="52"/>
      <c r="D4" s="52"/>
      <c r="E4" s="52"/>
      <c r="F4" s="52"/>
      <c r="G4" s="52"/>
      <c r="H4" s="52"/>
    </row>
    <row r="5" spans="1:36" ht="17.25" customHeight="1">
      <c r="A5" s="180" t="s">
        <v>64</v>
      </c>
      <c r="B5" s="180"/>
      <c r="C5" s="180"/>
      <c r="D5" s="6"/>
    </row>
    <row r="6" spans="1:36" ht="15.75" customHeight="1">
      <c r="A6" s="104" t="s">
        <v>63</v>
      </c>
      <c r="B6" s="6"/>
      <c r="C6" s="6"/>
    </row>
    <row r="7" spans="1:36" s="99" customFormat="1" ht="15.75" customHeight="1">
      <c r="A7" s="99" t="s">
        <v>62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</row>
    <row r="8" spans="1:36" s="99" customFormat="1" ht="15.75" customHeight="1">
      <c r="A8" s="99" t="s">
        <v>92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</row>
    <row r="9" spans="1:36" ht="15.75" customHeight="1">
      <c r="A9" s="25"/>
      <c r="B9" s="25"/>
    </row>
    <row r="10" spans="1:36" ht="12.75" customHeight="1">
      <c r="B10" s="53"/>
      <c r="C10" s="53" t="s">
        <v>11</v>
      </c>
      <c r="D10" s="54">
        <f>D21</f>
        <v>0</v>
      </c>
    </row>
    <row r="11" spans="1:36" ht="12.75" customHeight="1">
      <c r="B11" s="53"/>
      <c r="C11" s="53" t="s">
        <v>12</v>
      </c>
      <c r="D11" s="54">
        <f>H17</f>
        <v>0</v>
      </c>
    </row>
    <row r="12" spans="1:36" ht="12.75" customHeight="1">
      <c r="B12" s="55"/>
      <c r="F12" s="113"/>
    </row>
    <row r="13" spans="1:36" ht="12.75" customHeight="1" thickBot="1">
      <c r="A13" s="55"/>
      <c r="B13" s="55"/>
    </row>
    <row r="14" spans="1:36" ht="12.75" customHeight="1">
      <c r="A14" s="184" t="s">
        <v>13</v>
      </c>
      <c r="B14" s="186" t="s">
        <v>14</v>
      </c>
      <c r="C14" s="188" t="s">
        <v>15</v>
      </c>
      <c r="D14" s="188" t="s">
        <v>16</v>
      </c>
      <c r="E14" s="190" t="s">
        <v>17</v>
      </c>
      <c r="F14" s="190"/>
      <c r="G14" s="190"/>
      <c r="H14" s="191" t="s">
        <v>18</v>
      </c>
    </row>
    <row r="15" spans="1:36" s="29" customFormat="1" ht="24" customHeight="1">
      <c r="A15" s="185"/>
      <c r="B15" s="187"/>
      <c r="C15" s="189"/>
      <c r="D15" s="189"/>
      <c r="E15" s="82" t="s">
        <v>19</v>
      </c>
      <c r="F15" s="82" t="s">
        <v>20</v>
      </c>
      <c r="G15" s="82" t="s">
        <v>21</v>
      </c>
      <c r="H15" s="192"/>
    </row>
    <row r="16" spans="1:36" s="29" customFormat="1" ht="17.25" customHeight="1" thickBot="1">
      <c r="A16" s="84">
        <v>10</v>
      </c>
      <c r="B16" s="89" t="s">
        <v>59</v>
      </c>
      <c r="C16" s="90" t="str">
        <f>'1-1'!E2</f>
        <v>Skābbarības tranšejas izbūve</v>
      </c>
      <c r="D16" s="91">
        <f>'1-1'!O45</f>
        <v>0</v>
      </c>
      <c r="E16" s="79">
        <f>'1-1'!L45</f>
        <v>0</v>
      </c>
      <c r="F16" s="79">
        <f>'1-1'!M45</f>
        <v>0</v>
      </c>
      <c r="G16" s="79">
        <f>'1-1'!N45</f>
        <v>0</v>
      </c>
      <c r="H16" s="80">
        <f>'1-1'!K45</f>
        <v>0</v>
      </c>
    </row>
    <row r="17" spans="1:9" ht="17.25" customHeight="1" thickBot="1">
      <c r="A17" s="92" t="s">
        <v>6</v>
      </c>
      <c r="B17" s="93"/>
      <c r="C17" s="94" t="s">
        <v>7</v>
      </c>
      <c r="D17" s="95">
        <f>SUM(D16:D16)</f>
        <v>0</v>
      </c>
      <c r="E17" s="88">
        <f>SUM(E16:E16)</f>
        <v>0</v>
      </c>
      <c r="F17" s="77">
        <f>SUM(F16:F16)</f>
        <v>0</v>
      </c>
      <c r="G17" s="77">
        <f>SUM(G16:G16)</f>
        <v>0</v>
      </c>
      <c r="H17" s="87">
        <f>SUM(H16:H16)</f>
        <v>0</v>
      </c>
      <c r="I17" s="16"/>
    </row>
    <row r="18" spans="1:9" ht="17.25" customHeight="1">
      <c r="A18" s="96"/>
      <c r="B18" s="58"/>
      <c r="C18" s="59" t="s">
        <v>93</v>
      </c>
      <c r="D18" s="83">
        <f>D17*8%</f>
        <v>0</v>
      </c>
      <c r="E18" s="22"/>
      <c r="F18" s="22"/>
      <c r="G18" s="22"/>
      <c r="H18" s="22"/>
      <c r="I18" s="16"/>
    </row>
    <row r="19" spans="1:9" ht="17.25" customHeight="1">
      <c r="A19" s="97"/>
      <c r="B19" s="56"/>
      <c r="C19" s="60" t="s">
        <v>22</v>
      </c>
      <c r="D19" s="81"/>
      <c r="E19" s="22"/>
      <c r="F19" s="22"/>
      <c r="G19" s="22"/>
      <c r="H19" s="22"/>
      <c r="I19" s="16"/>
    </row>
    <row r="20" spans="1:9" ht="17.25" customHeight="1">
      <c r="A20" s="97"/>
      <c r="B20" s="56"/>
      <c r="C20" s="57" t="s">
        <v>57</v>
      </c>
      <c r="D20" s="81">
        <f>D17*6%</f>
        <v>0</v>
      </c>
      <c r="E20" s="22"/>
      <c r="F20" s="22"/>
      <c r="G20" s="22"/>
      <c r="H20" s="22"/>
      <c r="I20" s="16"/>
    </row>
    <row r="21" spans="1:9" ht="17.25" customHeight="1" thickBot="1">
      <c r="A21" s="85"/>
      <c r="B21" s="98"/>
      <c r="C21" s="86" t="s">
        <v>23</v>
      </c>
      <c r="D21" s="78">
        <f>SUM(D17:D20)</f>
        <v>0</v>
      </c>
      <c r="E21" s="22"/>
      <c r="F21" s="22"/>
      <c r="G21" s="22"/>
      <c r="H21" s="22"/>
      <c r="I21" s="16"/>
    </row>
    <row r="22" spans="1:9">
      <c r="A22" s="61"/>
      <c r="B22" s="61"/>
      <c r="C22" s="62"/>
      <c r="D22" s="16"/>
      <c r="E22" s="16"/>
      <c r="F22" s="16"/>
      <c r="G22" s="16"/>
      <c r="H22" s="16"/>
      <c r="I22" s="16"/>
    </row>
    <row r="23" spans="1:9" ht="12.75" customHeight="1">
      <c r="A23" s="63"/>
      <c r="B23" s="63"/>
      <c r="C23" s="62"/>
      <c r="D23" s="16"/>
      <c r="E23" s="16"/>
      <c r="F23" s="16"/>
      <c r="G23" s="16"/>
      <c r="H23" s="16"/>
      <c r="I23" s="16"/>
    </row>
    <row r="24" spans="1:9">
      <c r="A24" s="20"/>
      <c r="B24" s="175" t="s">
        <v>98</v>
      </c>
      <c r="C24" s="45"/>
      <c r="D24" s="48"/>
      <c r="E24" s="12"/>
      <c r="F24" s="12"/>
      <c r="G24" s="12"/>
      <c r="H24" s="14"/>
      <c r="I24" s="15"/>
    </row>
    <row r="25" spans="1:9">
      <c r="A25" s="20"/>
      <c r="B25" s="176" t="s">
        <v>94</v>
      </c>
      <c r="C25" s="64"/>
      <c r="D25" s="65"/>
      <c r="E25" s="17"/>
      <c r="F25" s="17"/>
      <c r="G25" s="17"/>
      <c r="H25" s="14"/>
      <c r="I25" s="14"/>
    </row>
    <row r="26" spans="1:9" ht="12.75" customHeight="1">
      <c r="A26" s="20"/>
      <c r="B26" s="177" t="s">
        <v>95</v>
      </c>
      <c r="C26" s="47"/>
      <c r="D26" s="20"/>
      <c r="E26" s="14"/>
      <c r="F26" s="14"/>
      <c r="G26" s="14"/>
      <c r="H26" s="14"/>
      <c r="I26" s="14"/>
    </row>
    <row r="27" spans="1:9">
      <c r="A27" s="20"/>
      <c r="B27" s="177"/>
      <c r="C27" s="47"/>
      <c r="D27" s="20"/>
      <c r="E27" s="14"/>
      <c r="F27" s="14"/>
      <c r="G27" s="14"/>
      <c r="H27" s="14"/>
      <c r="I27" s="14"/>
    </row>
    <row r="28" spans="1:9" ht="12.75" customHeight="1">
      <c r="A28" s="20"/>
      <c r="B28" s="175" t="s">
        <v>99</v>
      </c>
      <c r="C28" s="45"/>
      <c r="D28" s="48"/>
      <c r="E28" s="12"/>
      <c r="F28" s="12"/>
      <c r="G28" s="12"/>
      <c r="H28" s="14"/>
      <c r="I28" s="14"/>
    </row>
    <row r="29" spans="1:9" ht="12.75" customHeight="1">
      <c r="A29" s="20"/>
      <c r="B29" s="178" t="s">
        <v>96</v>
      </c>
      <c r="C29" s="64"/>
      <c r="D29" s="65"/>
      <c r="E29" s="17"/>
      <c r="F29" s="17"/>
      <c r="G29" s="17"/>
      <c r="H29" s="14"/>
      <c r="I29" s="14"/>
    </row>
    <row r="30" spans="1:9" ht="12.75" customHeight="1">
      <c r="A30" s="20"/>
      <c r="B30" s="177" t="s">
        <v>97</v>
      </c>
      <c r="C30" s="48"/>
      <c r="D30" s="22"/>
      <c r="E30" s="14"/>
      <c r="F30" s="14"/>
      <c r="G30" s="14"/>
      <c r="H30" s="14"/>
      <c r="I30" s="14"/>
    </row>
    <row r="31" spans="1:9" ht="12.75" customHeight="1">
      <c r="A31" s="16"/>
      <c r="B31" s="16"/>
      <c r="C31" s="16"/>
      <c r="D31" s="22"/>
      <c r="E31" s="16"/>
      <c r="F31" s="16"/>
      <c r="G31" s="16"/>
      <c r="H31" s="16"/>
      <c r="I31" s="16"/>
    </row>
    <row r="32" spans="1:9" ht="12.75" customHeight="1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12.75" customHeight="1">
      <c r="A33" s="16"/>
      <c r="B33" s="16"/>
      <c r="C33" s="16"/>
      <c r="D33" s="16"/>
      <c r="E33" s="16"/>
      <c r="F33" s="16"/>
      <c r="G33" s="16"/>
      <c r="H33" s="16"/>
      <c r="I33" s="16"/>
    </row>
    <row r="34" spans="1:9" ht="12.75" customHeight="1">
      <c r="A34" s="16"/>
      <c r="B34" s="16"/>
      <c r="C34" s="16"/>
      <c r="D34" s="16"/>
      <c r="E34" s="16"/>
      <c r="F34" s="16"/>
      <c r="G34" s="16"/>
      <c r="H34" s="16"/>
      <c r="I34" s="16"/>
    </row>
    <row r="35" spans="1:9" ht="12.75" customHeight="1">
      <c r="A35" s="16"/>
      <c r="B35" s="16"/>
      <c r="C35" s="16"/>
      <c r="D35" s="16"/>
      <c r="E35" s="16"/>
      <c r="F35" s="16"/>
      <c r="G35" s="16"/>
      <c r="H35" s="16"/>
      <c r="I35" s="16"/>
    </row>
  </sheetData>
  <mergeCells count="12">
    <mergeCell ref="A1:H1"/>
    <mergeCell ref="C3:F3"/>
    <mergeCell ref="A14:A15"/>
    <mergeCell ref="B14:B15"/>
    <mergeCell ref="C14:C15"/>
    <mergeCell ref="D14:D15"/>
    <mergeCell ref="E14:G14"/>
    <mergeCell ref="H14:H15"/>
    <mergeCell ref="A5:C5"/>
    <mergeCell ref="D7:AJ7"/>
    <mergeCell ref="D8:AJ8"/>
    <mergeCell ref="C2:E2"/>
  </mergeCells>
  <pageMargins left="0.70866141732283472" right="0.31496062992125984" top="0.74803149606299213" bottom="0.74803149606299213" header="0.31496062992125984" footer="0.31496062992125984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C000"/>
  </sheetPr>
  <dimension ref="A1:AK56"/>
  <sheetViews>
    <sheetView topLeftCell="A28" zoomScaleNormal="100" workbookViewId="0">
      <selection activeCell="G18" sqref="G18"/>
    </sheetView>
  </sheetViews>
  <sheetFormatPr defaultColWidth="8.42578125" defaultRowHeight="12.75"/>
  <cols>
    <col min="1" max="1" width="5" style="1" customWidth="1"/>
    <col min="2" max="2" width="49" style="1" customWidth="1"/>
    <col min="3" max="3" width="8" style="1" customWidth="1"/>
    <col min="4" max="4" width="9.7109375" style="125" customWidth="1"/>
    <col min="5" max="10" width="8.42578125" style="126"/>
    <col min="11" max="11" width="8.85546875" style="126" customWidth="1"/>
    <col min="12" max="14" width="10.140625" style="126" customWidth="1"/>
    <col min="15" max="15" width="13.85546875" style="126" customWidth="1"/>
    <col min="16" max="16384" width="8.42578125" style="1"/>
  </cols>
  <sheetData>
    <row r="1" spans="1:23" ht="15.75" customHeight="1">
      <c r="A1" s="194" t="s">
        <v>39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1:23" ht="15.75" customHeight="1">
      <c r="A2" s="2"/>
      <c r="B2" s="2"/>
      <c r="C2" s="2"/>
      <c r="D2" s="121"/>
      <c r="E2" s="173" t="s">
        <v>61</v>
      </c>
      <c r="F2" s="173"/>
      <c r="G2" s="173"/>
      <c r="H2" s="122"/>
      <c r="I2" s="122"/>
      <c r="J2" s="122"/>
      <c r="K2" s="122"/>
      <c r="L2" s="122"/>
      <c r="M2" s="122"/>
      <c r="N2" s="122"/>
      <c r="O2" s="122"/>
    </row>
    <row r="3" spans="1:23" ht="15.75" customHeight="1">
      <c r="A3" s="3"/>
      <c r="B3" s="3"/>
      <c r="C3" s="3"/>
      <c r="D3" s="123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1:23" ht="15.75" customHeight="1">
      <c r="A4" s="4"/>
      <c r="B4" s="5"/>
    </row>
    <row r="5" spans="1:23" s="23" customFormat="1" ht="17.25" customHeight="1">
      <c r="A5" s="180" t="s">
        <v>64</v>
      </c>
      <c r="B5" s="180"/>
      <c r="C5" s="180"/>
      <c r="D5" s="6"/>
    </row>
    <row r="6" spans="1:23" s="23" customFormat="1" ht="15.75" customHeight="1">
      <c r="A6" s="104" t="s">
        <v>63</v>
      </c>
      <c r="B6" s="6"/>
      <c r="C6" s="6"/>
    </row>
    <row r="7" spans="1:23" s="99" customFormat="1" ht="15.75" customHeight="1">
      <c r="A7" s="99" t="s">
        <v>62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</row>
    <row r="8" spans="1:23" s="99" customFormat="1" ht="15.75" customHeight="1">
      <c r="A8" s="99" t="s">
        <v>92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</row>
    <row r="9" spans="1:23" ht="15.75" customHeight="1">
      <c r="A9" s="8"/>
    </row>
    <row r="10" spans="1:23" ht="12.75" customHeight="1">
      <c r="A10" s="119" t="s">
        <v>70</v>
      </c>
      <c r="K10" s="126" t="s">
        <v>16</v>
      </c>
      <c r="M10" s="195">
        <f>O45</f>
        <v>0</v>
      </c>
      <c r="N10" s="195"/>
    </row>
    <row r="11" spans="1:23" ht="15.75" customHeight="1" thickBot="1">
      <c r="A11" s="9"/>
      <c r="B11" s="7"/>
      <c r="C11" s="7"/>
      <c r="D11" s="127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</row>
    <row r="12" spans="1:23" s="10" customFormat="1" ht="12.75" customHeight="1">
      <c r="A12" s="158" t="s">
        <v>1</v>
      </c>
      <c r="B12" s="159"/>
      <c r="C12" s="196" t="s">
        <v>24</v>
      </c>
      <c r="D12" s="198" t="s">
        <v>25</v>
      </c>
      <c r="E12" s="200" t="s">
        <v>26</v>
      </c>
      <c r="F12" s="200"/>
      <c r="G12" s="200"/>
      <c r="H12" s="200"/>
      <c r="I12" s="200"/>
      <c r="J12" s="200"/>
      <c r="K12" s="200" t="s">
        <v>27</v>
      </c>
      <c r="L12" s="200"/>
      <c r="M12" s="200"/>
      <c r="N12" s="200"/>
      <c r="O12" s="201"/>
    </row>
    <row r="13" spans="1:23" s="10" customFormat="1" ht="48" customHeight="1">
      <c r="A13" s="160" t="s">
        <v>4</v>
      </c>
      <c r="B13" s="100" t="s">
        <v>28</v>
      </c>
      <c r="C13" s="197"/>
      <c r="D13" s="199"/>
      <c r="E13" s="138" t="s">
        <v>29</v>
      </c>
      <c r="F13" s="138" t="s">
        <v>30</v>
      </c>
      <c r="G13" s="138" t="s">
        <v>31</v>
      </c>
      <c r="H13" s="138" t="s">
        <v>32</v>
      </c>
      <c r="I13" s="138" t="s">
        <v>33</v>
      </c>
      <c r="J13" s="138" t="s">
        <v>34</v>
      </c>
      <c r="K13" s="138" t="s">
        <v>35</v>
      </c>
      <c r="L13" s="138" t="s">
        <v>31</v>
      </c>
      <c r="M13" s="138" t="s">
        <v>32</v>
      </c>
      <c r="N13" s="138" t="s">
        <v>33</v>
      </c>
      <c r="O13" s="161" t="s">
        <v>36</v>
      </c>
    </row>
    <row r="14" spans="1:23" s="10" customFormat="1" ht="12.75" customHeight="1">
      <c r="A14" s="114">
        <v>1</v>
      </c>
      <c r="B14" s="75">
        <v>3</v>
      </c>
      <c r="C14" s="75">
        <v>4</v>
      </c>
      <c r="D14" s="129">
        <v>5</v>
      </c>
      <c r="E14" s="129">
        <v>6</v>
      </c>
      <c r="F14" s="129">
        <v>7</v>
      </c>
      <c r="G14" s="129">
        <v>8</v>
      </c>
      <c r="H14" s="129">
        <v>9</v>
      </c>
      <c r="I14" s="129">
        <v>10</v>
      </c>
      <c r="J14" s="129">
        <v>11</v>
      </c>
      <c r="K14" s="129">
        <v>12</v>
      </c>
      <c r="L14" s="129">
        <v>13</v>
      </c>
      <c r="M14" s="129">
        <v>14</v>
      </c>
      <c r="N14" s="129">
        <v>15</v>
      </c>
      <c r="O14" s="162">
        <v>16</v>
      </c>
    </row>
    <row r="15" spans="1:23" s="118" customFormat="1" ht="13.5">
      <c r="A15" s="163"/>
      <c r="B15" s="139" t="s">
        <v>71</v>
      </c>
      <c r="C15" s="140"/>
      <c r="D15" s="141"/>
      <c r="E15" s="142"/>
      <c r="F15" s="142"/>
      <c r="G15" s="143"/>
      <c r="H15" s="142"/>
      <c r="I15" s="142"/>
      <c r="J15" s="143"/>
      <c r="K15" s="142"/>
      <c r="L15" s="143"/>
      <c r="M15" s="142"/>
      <c r="N15" s="142"/>
      <c r="O15" s="164"/>
    </row>
    <row r="16" spans="1:23" s="118" customFormat="1" ht="16.149999999999999" customHeight="1">
      <c r="A16" s="163">
        <v>1</v>
      </c>
      <c r="B16" s="144" t="s">
        <v>88</v>
      </c>
      <c r="C16" s="140" t="s">
        <v>41</v>
      </c>
      <c r="D16" s="145">
        <v>1</v>
      </c>
      <c r="E16" s="146"/>
      <c r="F16" s="146"/>
      <c r="G16" s="147"/>
      <c r="H16" s="147"/>
      <c r="I16" s="147"/>
      <c r="J16" s="148">
        <f t="shared" ref="J16" si="0">SUM(G16:I16)</f>
        <v>0</v>
      </c>
      <c r="K16" s="148">
        <f t="shared" ref="K16" si="1">ROUND(D16*E16,2)</f>
        <v>0</v>
      </c>
      <c r="L16" s="148">
        <f t="shared" ref="L16" si="2">ROUND(G16*D16,2)</f>
        <v>0</v>
      </c>
      <c r="M16" s="148">
        <f t="shared" ref="M16" si="3">ROUND(H16*D16,2)</f>
        <v>0</v>
      </c>
      <c r="N16" s="148">
        <f t="shared" ref="N16" si="4">ROUND(I16*D16,2)</f>
        <v>0</v>
      </c>
      <c r="O16" s="165">
        <f>SUM(L16:N16)</f>
        <v>0</v>
      </c>
    </row>
    <row r="17" spans="1:37" s="118" customFormat="1" ht="16.149999999999999" customHeight="1">
      <c r="A17" s="163">
        <v>2</v>
      </c>
      <c r="B17" s="149" t="s">
        <v>73</v>
      </c>
      <c r="C17" s="140" t="s">
        <v>41</v>
      </c>
      <c r="D17" s="150">
        <v>1</v>
      </c>
      <c r="E17" s="146"/>
      <c r="F17" s="146"/>
      <c r="G17" s="147"/>
      <c r="H17" s="147"/>
      <c r="I17" s="147"/>
      <c r="J17" s="148">
        <f t="shared" ref="J17:J44" si="5">SUM(G17:I17)</f>
        <v>0</v>
      </c>
      <c r="K17" s="148">
        <f t="shared" ref="K17:K44" si="6">ROUND(D17*E17,2)</f>
        <v>0</v>
      </c>
      <c r="L17" s="148">
        <f t="shared" ref="L17:L44" si="7">ROUND(G17*D17,2)</f>
        <v>0</v>
      </c>
      <c r="M17" s="148">
        <f t="shared" ref="M17:M44" si="8">ROUND(H17*D17,2)</f>
        <v>0</v>
      </c>
      <c r="N17" s="148">
        <f t="shared" ref="N17:N44" si="9">ROUND(I17*D17,2)</f>
        <v>0</v>
      </c>
      <c r="O17" s="165">
        <f t="shared" ref="O17:O44" si="10">SUM(L17:N17)</f>
        <v>0</v>
      </c>
    </row>
    <row r="18" spans="1:37" s="118" customFormat="1" ht="27.75" customHeight="1">
      <c r="A18" s="163">
        <v>3</v>
      </c>
      <c r="B18" s="149" t="s">
        <v>66</v>
      </c>
      <c r="C18" s="140" t="s">
        <v>67</v>
      </c>
      <c r="D18" s="172">
        <f>8*2.1*54+54*8.5*(2.1*2+1.5+0.8)/4</f>
        <v>1653.075</v>
      </c>
      <c r="E18" s="146"/>
      <c r="F18" s="146"/>
      <c r="G18" s="147"/>
      <c r="H18" s="147"/>
      <c r="I18" s="147"/>
      <c r="J18" s="148">
        <f t="shared" si="5"/>
        <v>0</v>
      </c>
      <c r="K18" s="148">
        <f t="shared" si="6"/>
        <v>0</v>
      </c>
      <c r="L18" s="148">
        <f t="shared" si="7"/>
        <v>0</v>
      </c>
      <c r="M18" s="148">
        <f t="shared" si="8"/>
        <v>0</v>
      </c>
      <c r="N18" s="148">
        <f t="shared" si="9"/>
        <v>0</v>
      </c>
      <c r="O18" s="165">
        <f t="shared" si="10"/>
        <v>0</v>
      </c>
    </row>
    <row r="19" spans="1:37" s="117" customFormat="1" ht="25.5" customHeight="1">
      <c r="A19" s="163">
        <v>4</v>
      </c>
      <c r="B19" s="70" t="s">
        <v>85</v>
      </c>
      <c r="C19" s="115" t="s">
        <v>37</v>
      </c>
      <c r="D19" s="151">
        <f>(54*11.5*0.2)</f>
        <v>124.2</v>
      </c>
      <c r="E19" s="146"/>
      <c r="F19" s="146"/>
      <c r="G19" s="147"/>
      <c r="H19" s="147"/>
      <c r="I19" s="147"/>
      <c r="J19" s="148">
        <f t="shared" si="5"/>
        <v>0</v>
      </c>
      <c r="K19" s="148">
        <f t="shared" si="6"/>
        <v>0</v>
      </c>
      <c r="L19" s="148">
        <f t="shared" si="7"/>
        <v>0</v>
      </c>
      <c r="M19" s="148">
        <f t="shared" si="8"/>
        <v>0</v>
      </c>
      <c r="N19" s="148">
        <f t="shared" si="9"/>
        <v>0</v>
      </c>
      <c r="O19" s="165">
        <f t="shared" si="10"/>
        <v>0</v>
      </c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</row>
    <row r="20" spans="1:37" ht="25.5">
      <c r="A20" s="163">
        <v>5</v>
      </c>
      <c r="B20" s="70" t="s">
        <v>79</v>
      </c>
      <c r="C20" s="69" t="s">
        <v>37</v>
      </c>
      <c r="D20" s="151">
        <f>(54*11.5*0.25)</f>
        <v>155.25</v>
      </c>
      <c r="E20" s="146"/>
      <c r="F20" s="146"/>
      <c r="G20" s="147"/>
      <c r="H20" s="147"/>
      <c r="I20" s="147"/>
      <c r="J20" s="148">
        <f t="shared" si="5"/>
        <v>0</v>
      </c>
      <c r="K20" s="148">
        <f t="shared" si="6"/>
        <v>0</v>
      </c>
      <c r="L20" s="148">
        <f t="shared" si="7"/>
        <v>0</v>
      </c>
      <c r="M20" s="148">
        <f t="shared" si="8"/>
        <v>0</v>
      </c>
      <c r="N20" s="148">
        <f t="shared" si="9"/>
        <v>0</v>
      </c>
      <c r="O20" s="165">
        <f t="shared" si="10"/>
        <v>0</v>
      </c>
    </row>
    <row r="21" spans="1:37" s="118" customFormat="1" ht="30" customHeight="1">
      <c r="A21" s="163">
        <v>6</v>
      </c>
      <c r="B21" s="76" t="s">
        <v>72</v>
      </c>
      <c r="C21" s="140" t="s">
        <v>65</v>
      </c>
      <c r="D21" s="152">
        <v>106</v>
      </c>
      <c r="E21" s="146"/>
      <c r="F21" s="146"/>
      <c r="G21" s="147"/>
      <c r="H21" s="147"/>
      <c r="I21" s="147"/>
      <c r="J21" s="148">
        <f t="shared" si="5"/>
        <v>0</v>
      </c>
      <c r="K21" s="148">
        <f t="shared" si="6"/>
        <v>0</v>
      </c>
      <c r="L21" s="148">
        <f t="shared" si="7"/>
        <v>0</v>
      </c>
      <c r="M21" s="148">
        <f t="shared" si="8"/>
        <v>0</v>
      </c>
      <c r="N21" s="148">
        <f t="shared" si="9"/>
        <v>0</v>
      </c>
      <c r="O21" s="165">
        <f t="shared" si="10"/>
        <v>0</v>
      </c>
    </row>
    <row r="22" spans="1:37" s="67" customFormat="1" ht="25.5">
      <c r="A22" s="163">
        <v>7</v>
      </c>
      <c r="B22" s="66" t="s">
        <v>83</v>
      </c>
      <c r="C22" s="69" t="s">
        <v>40</v>
      </c>
      <c r="D22" s="69">
        <v>556.5</v>
      </c>
      <c r="E22" s="146"/>
      <c r="F22" s="146"/>
      <c r="G22" s="147"/>
      <c r="H22" s="147"/>
      <c r="I22" s="147"/>
      <c r="J22" s="148">
        <f t="shared" si="5"/>
        <v>0</v>
      </c>
      <c r="K22" s="148">
        <f t="shared" si="6"/>
        <v>0</v>
      </c>
      <c r="L22" s="148">
        <f t="shared" si="7"/>
        <v>0</v>
      </c>
      <c r="M22" s="148">
        <f t="shared" si="8"/>
        <v>0</v>
      </c>
      <c r="N22" s="148">
        <f t="shared" si="9"/>
        <v>0</v>
      </c>
      <c r="O22" s="165">
        <f t="shared" si="10"/>
        <v>0</v>
      </c>
    </row>
    <row r="23" spans="1:37" s="67" customFormat="1" ht="25.5">
      <c r="A23" s="163">
        <v>8</v>
      </c>
      <c r="B23" s="66" t="s">
        <v>82</v>
      </c>
      <c r="C23" s="69" t="s">
        <v>40</v>
      </c>
      <c r="D23" s="69">
        <f>D22</f>
        <v>556.5</v>
      </c>
      <c r="E23" s="146"/>
      <c r="F23" s="146"/>
      <c r="G23" s="147"/>
      <c r="H23" s="147"/>
      <c r="I23" s="147"/>
      <c r="J23" s="148">
        <f t="shared" si="5"/>
        <v>0</v>
      </c>
      <c r="K23" s="148">
        <f t="shared" si="6"/>
        <v>0</v>
      </c>
      <c r="L23" s="148">
        <f t="shared" si="7"/>
        <v>0</v>
      </c>
      <c r="M23" s="148">
        <f t="shared" si="8"/>
        <v>0</v>
      </c>
      <c r="N23" s="148">
        <f t="shared" si="9"/>
        <v>0</v>
      </c>
      <c r="O23" s="165">
        <f t="shared" si="10"/>
        <v>0</v>
      </c>
    </row>
    <row r="24" spans="1:37" s="67" customFormat="1" ht="39">
      <c r="A24" s="163">
        <v>9</v>
      </c>
      <c r="B24" s="70" t="s">
        <v>87</v>
      </c>
      <c r="C24" s="72" t="s">
        <v>42</v>
      </c>
      <c r="D24" s="130">
        <v>62</v>
      </c>
      <c r="E24" s="146"/>
      <c r="F24" s="146"/>
      <c r="G24" s="147"/>
      <c r="H24" s="147"/>
      <c r="I24" s="147"/>
      <c r="J24" s="148">
        <f t="shared" si="5"/>
        <v>0</v>
      </c>
      <c r="K24" s="148">
        <f t="shared" si="6"/>
        <v>0</v>
      </c>
      <c r="L24" s="148">
        <f t="shared" si="7"/>
        <v>0</v>
      </c>
      <c r="M24" s="148">
        <f t="shared" si="8"/>
        <v>0</v>
      </c>
      <c r="N24" s="148">
        <f t="shared" si="9"/>
        <v>0</v>
      </c>
      <c r="O24" s="165">
        <f t="shared" si="10"/>
        <v>0</v>
      </c>
    </row>
    <row r="25" spans="1:37" s="118" customFormat="1" ht="31.5" customHeight="1">
      <c r="A25" s="163">
        <v>10</v>
      </c>
      <c r="B25" s="149" t="s">
        <v>76</v>
      </c>
      <c r="C25" s="140" t="s">
        <v>67</v>
      </c>
      <c r="D25" s="150">
        <f>54*2*2.7</f>
        <v>291.60000000000002</v>
      </c>
      <c r="E25" s="146"/>
      <c r="F25" s="146"/>
      <c r="G25" s="147"/>
      <c r="H25" s="147"/>
      <c r="I25" s="147"/>
      <c r="J25" s="148">
        <f t="shared" si="5"/>
        <v>0</v>
      </c>
      <c r="K25" s="148">
        <f t="shared" si="6"/>
        <v>0</v>
      </c>
      <c r="L25" s="148">
        <f t="shared" si="7"/>
        <v>0</v>
      </c>
      <c r="M25" s="148">
        <f t="shared" si="8"/>
        <v>0</v>
      </c>
      <c r="N25" s="148">
        <f t="shared" si="9"/>
        <v>0</v>
      </c>
      <c r="O25" s="165">
        <f t="shared" si="10"/>
        <v>0</v>
      </c>
    </row>
    <row r="26" spans="1:37" s="118" customFormat="1" ht="31.5" customHeight="1">
      <c r="A26" s="163">
        <v>11</v>
      </c>
      <c r="B26" s="149" t="s">
        <v>77</v>
      </c>
      <c r="C26" s="140" t="s">
        <v>67</v>
      </c>
      <c r="D26" s="150">
        <f>54*2.7+54*2</f>
        <v>253.8</v>
      </c>
      <c r="E26" s="146"/>
      <c r="F26" s="146"/>
      <c r="G26" s="147"/>
      <c r="H26" s="147"/>
      <c r="I26" s="147"/>
      <c r="J26" s="148">
        <f t="shared" si="5"/>
        <v>0</v>
      </c>
      <c r="K26" s="148">
        <f t="shared" si="6"/>
        <v>0</v>
      </c>
      <c r="L26" s="148">
        <f t="shared" si="7"/>
        <v>0</v>
      </c>
      <c r="M26" s="148">
        <f t="shared" si="8"/>
        <v>0</v>
      </c>
      <c r="N26" s="148">
        <f t="shared" si="9"/>
        <v>0</v>
      </c>
      <c r="O26" s="165">
        <f t="shared" si="10"/>
        <v>0</v>
      </c>
    </row>
    <row r="27" spans="1:37" ht="25.5">
      <c r="A27" s="163">
        <v>12</v>
      </c>
      <c r="B27" s="70" t="s">
        <v>81</v>
      </c>
      <c r="C27" s="69" t="s">
        <v>37</v>
      </c>
      <c r="D27" s="150">
        <f>54*2*0.08</f>
        <v>8.64</v>
      </c>
      <c r="E27" s="146"/>
      <c r="F27" s="146"/>
      <c r="G27" s="147"/>
      <c r="H27" s="147"/>
      <c r="I27" s="147"/>
      <c r="J27" s="148">
        <f t="shared" si="5"/>
        <v>0</v>
      </c>
      <c r="K27" s="148">
        <f t="shared" si="6"/>
        <v>0</v>
      </c>
      <c r="L27" s="148">
        <f t="shared" si="7"/>
        <v>0</v>
      </c>
      <c r="M27" s="148">
        <f t="shared" si="8"/>
        <v>0</v>
      </c>
      <c r="N27" s="148">
        <f t="shared" si="9"/>
        <v>0</v>
      </c>
      <c r="O27" s="165">
        <f t="shared" si="10"/>
        <v>0</v>
      </c>
    </row>
    <row r="28" spans="1:37" ht="28.15" customHeight="1">
      <c r="A28" s="163">
        <v>13</v>
      </c>
      <c r="B28" s="71" t="s">
        <v>89</v>
      </c>
      <c r="C28" s="102" t="s">
        <v>40</v>
      </c>
      <c r="D28" s="150">
        <f>54*2</f>
        <v>108</v>
      </c>
      <c r="E28" s="146"/>
      <c r="F28" s="146"/>
      <c r="G28" s="147"/>
      <c r="H28" s="147"/>
      <c r="I28" s="147"/>
      <c r="J28" s="148">
        <f t="shared" si="5"/>
        <v>0</v>
      </c>
      <c r="K28" s="148">
        <f t="shared" si="6"/>
        <v>0</v>
      </c>
      <c r="L28" s="148">
        <f t="shared" si="7"/>
        <v>0</v>
      </c>
      <c r="M28" s="148">
        <f t="shared" si="8"/>
        <v>0</v>
      </c>
      <c r="N28" s="148">
        <f t="shared" si="9"/>
        <v>0</v>
      </c>
      <c r="O28" s="165">
        <f t="shared" si="10"/>
        <v>0</v>
      </c>
    </row>
    <row r="29" spans="1:37" ht="25.5">
      <c r="A29" s="163">
        <v>14</v>
      </c>
      <c r="B29" s="71" t="s">
        <v>91</v>
      </c>
      <c r="C29" s="101" t="s">
        <v>37</v>
      </c>
      <c r="D29" s="150">
        <f>54*2*0.08</f>
        <v>8.64</v>
      </c>
      <c r="E29" s="146"/>
      <c r="F29" s="146"/>
      <c r="G29" s="147"/>
      <c r="H29" s="147"/>
      <c r="I29" s="147"/>
      <c r="J29" s="148">
        <f t="shared" si="5"/>
        <v>0</v>
      </c>
      <c r="K29" s="148">
        <f t="shared" si="6"/>
        <v>0</v>
      </c>
      <c r="L29" s="148">
        <f t="shared" si="7"/>
        <v>0</v>
      </c>
      <c r="M29" s="148">
        <f t="shared" si="8"/>
        <v>0</v>
      </c>
      <c r="N29" s="148">
        <f t="shared" si="9"/>
        <v>0</v>
      </c>
      <c r="O29" s="165">
        <f t="shared" si="10"/>
        <v>0</v>
      </c>
    </row>
    <row r="30" spans="1:37" s="67" customFormat="1" ht="15">
      <c r="A30" s="163">
        <v>15</v>
      </c>
      <c r="B30" s="70" t="s">
        <v>78</v>
      </c>
      <c r="C30" s="72" t="s">
        <v>40</v>
      </c>
      <c r="D30" s="130">
        <f>54*6+20*5</f>
        <v>424</v>
      </c>
      <c r="E30" s="146"/>
      <c r="F30" s="146"/>
      <c r="G30" s="147"/>
      <c r="H30" s="147"/>
      <c r="I30" s="147"/>
      <c r="J30" s="148">
        <f t="shared" si="5"/>
        <v>0</v>
      </c>
      <c r="K30" s="148">
        <f t="shared" si="6"/>
        <v>0</v>
      </c>
      <c r="L30" s="148">
        <f t="shared" si="7"/>
        <v>0</v>
      </c>
      <c r="M30" s="148">
        <f t="shared" si="8"/>
        <v>0</v>
      </c>
      <c r="N30" s="148">
        <f t="shared" si="9"/>
        <v>0</v>
      </c>
      <c r="O30" s="165">
        <f t="shared" si="10"/>
        <v>0</v>
      </c>
    </row>
    <row r="31" spans="1:37" s="118" customFormat="1" ht="13.5">
      <c r="A31" s="163">
        <v>16</v>
      </c>
      <c r="B31" s="139" t="s">
        <v>75</v>
      </c>
      <c r="C31" s="140"/>
      <c r="D31" s="141"/>
      <c r="E31" s="146"/>
      <c r="F31" s="146"/>
      <c r="G31" s="147"/>
      <c r="H31" s="147"/>
      <c r="I31" s="147"/>
      <c r="J31" s="148">
        <f t="shared" si="5"/>
        <v>0</v>
      </c>
      <c r="K31" s="148">
        <f t="shared" si="6"/>
        <v>0</v>
      </c>
      <c r="L31" s="148">
        <f t="shared" si="7"/>
        <v>0</v>
      </c>
      <c r="M31" s="148">
        <f t="shared" si="8"/>
        <v>0</v>
      </c>
      <c r="N31" s="148">
        <f t="shared" si="9"/>
        <v>0</v>
      </c>
      <c r="O31" s="165">
        <f t="shared" si="10"/>
        <v>0</v>
      </c>
    </row>
    <row r="32" spans="1:37" s="117" customFormat="1" ht="25.5" customHeight="1">
      <c r="A32" s="163">
        <v>17</v>
      </c>
      <c r="B32" s="70" t="s">
        <v>85</v>
      </c>
      <c r="C32" s="115" t="s">
        <v>37</v>
      </c>
      <c r="D32" s="151">
        <f>(13.5*1.5*0.2)*1.1</f>
        <v>4.4550000000000001</v>
      </c>
      <c r="E32" s="146"/>
      <c r="F32" s="146"/>
      <c r="G32" s="147"/>
      <c r="H32" s="147"/>
      <c r="I32" s="147"/>
      <c r="J32" s="148">
        <f t="shared" si="5"/>
        <v>0</v>
      </c>
      <c r="K32" s="148">
        <f t="shared" si="6"/>
        <v>0</v>
      </c>
      <c r="L32" s="148">
        <f t="shared" si="7"/>
        <v>0</v>
      </c>
      <c r="M32" s="148">
        <f t="shared" si="8"/>
        <v>0</v>
      </c>
      <c r="N32" s="148">
        <f t="shared" si="9"/>
        <v>0</v>
      </c>
      <c r="O32" s="165">
        <f t="shared" si="10"/>
        <v>0</v>
      </c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</row>
    <row r="33" spans="1:37" ht="25.5">
      <c r="A33" s="163">
        <v>18</v>
      </c>
      <c r="B33" s="70" t="s">
        <v>79</v>
      </c>
      <c r="C33" s="69" t="s">
        <v>37</v>
      </c>
      <c r="D33" s="151">
        <f>(13.5*1.5*0.15)*1.1</f>
        <v>3.3412500000000005</v>
      </c>
      <c r="E33" s="146"/>
      <c r="F33" s="146"/>
      <c r="G33" s="147"/>
      <c r="H33" s="147"/>
      <c r="I33" s="147"/>
      <c r="J33" s="148">
        <f t="shared" si="5"/>
        <v>0</v>
      </c>
      <c r="K33" s="148">
        <f t="shared" si="6"/>
        <v>0</v>
      </c>
      <c r="L33" s="148">
        <f t="shared" si="7"/>
        <v>0</v>
      </c>
      <c r="M33" s="148">
        <f t="shared" si="8"/>
        <v>0</v>
      </c>
      <c r="N33" s="148">
        <f t="shared" si="9"/>
        <v>0</v>
      </c>
      <c r="O33" s="165">
        <f t="shared" si="10"/>
        <v>0</v>
      </c>
    </row>
    <row r="34" spans="1:37" s="118" customFormat="1" ht="15" customHeight="1">
      <c r="A34" s="163">
        <v>19</v>
      </c>
      <c r="B34" s="120" t="s">
        <v>68</v>
      </c>
      <c r="C34" s="140" t="s">
        <v>69</v>
      </c>
      <c r="D34" s="153">
        <f>13.5*0.5*2+13.5*0.35</f>
        <v>18.225000000000001</v>
      </c>
      <c r="E34" s="146"/>
      <c r="F34" s="146"/>
      <c r="G34" s="147"/>
      <c r="H34" s="147"/>
      <c r="I34" s="147"/>
      <c r="J34" s="148">
        <f t="shared" si="5"/>
        <v>0</v>
      </c>
      <c r="K34" s="148">
        <f t="shared" si="6"/>
        <v>0</v>
      </c>
      <c r="L34" s="148">
        <f t="shared" si="7"/>
        <v>0</v>
      </c>
      <c r="M34" s="148">
        <f t="shared" si="8"/>
        <v>0</v>
      </c>
      <c r="N34" s="148">
        <f t="shared" si="9"/>
        <v>0</v>
      </c>
      <c r="O34" s="165">
        <f t="shared" si="10"/>
        <v>0</v>
      </c>
    </row>
    <row r="35" spans="1:37" s="118" customFormat="1" ht="34.15" customHeight="1">
      <c r="A35" s="163">
        <v>20</v>
      </c>
      <c r="B35" s="154" t="s">
        <v>80</v>
      </c>
      <c r="C35" s="155" t="s">
        <v>60</v>
      </c>
      <c r="D35" s="156">
        <f>D36*0.1</f>
        <v>0.53655000000000008</v>
      </c>
      <c r="E35" s="146"/>
      <c r="F35" s="146"/>
      <c r="G35" s="147"/>
      <c r="H35" s="147"/>
      <c r="I35" s="147"/>
      <c r="J35" s="148">
        <f t="shared" si="5"/>
        <v>0</v>
      </c>
      <c r="K35" s="148">
        <f t="shared" si="6"/>
        <v>0</v>
      </c>
      <c r="L35" s="148">
        <f t="shared" si="7"/>
        <v>0</v>
      </c>
      <c r="M35" s="148">
        <f t="shared" si="8"/>
        <v>0</v>
      </c>
      <c r="N35" s="148">
        <f t="shared" si="9"/>
        <v>0</v>
      </c>
      <c r="O35" s="165">
        <f t="shared" si="10"/>
        <v>0</v>
      </c>
    </row>
    <row r="36" spans="1:37" s="118" customFormat="1" ht="35.25" customHeight="1">
      <c r="A36" s="163">
        <v>21</v>
      </c>
      <c r="B36" s="157" t="s">
        <v>90</v>
      </c>
      <c r="C36" s="140" t="s">
        <v>67</v>
      </c>
      <c r="D36" s="153">
        <f>(14*1.1*0.2+14.5*0.35*0.2*2)*1.05</f>
        <v>5.3655000000000008</v>
      </c>
      <c r="E36" s="146"/>
      <c r="F36" s="146"/>
      <c r="G36" s="147"/>
      <c r="H36" s="147"/>
      <c r="I36" s="147"/>
      <c r="J36" s="148">
        <f t="shared" si="5"/>
        <v>0</v>
      </c>
      <c r="K36" s="148">
        <f t="shared" si="6"/>
        <v>0</v>
      </c>
      <c r="L36" s="148">
        <f t="shared" si="7"/>
        <v>0</v>
      </c>
      <c r="M36" s="148">
        <f t="shared" si="8"/>
        <v>0</v>
      </c>
      <c r="N36" s="148">
        <f t="shared" si="9"/>
        <v>0</v>
      </c>
      <c r="O36" s="165">
        <f t="shared" si="10"/>
        <v>0</v>
      </c>
    </row>
    <row r="37" spans="1:37" s="67" customFormat="1" ht="43.15" customHeight="1">
      <c r="A37" s="163">
        <v>22</v>
      </c>
      <c r="B37" s="70" t="s">
        <v>86</v>
      </c>
      <c r="C37" s="72" t="s">
        <v>42</v>
      </c>
      <c r="D37" s="130">
        <v>14.5</v>
      </c>
      <c r="E37" s="146"/>
      <c r="F37" s="146"/>
      <c r="G37" s="147"/>
      <c r="H37" s="147"/>
      <c r="I37" s="147"/>
      <c r="J37" s="148">
        <f t="shared" si="5"/>
        <v>0</v>
      </c>
      <c r="K37" s="148">
        <f t="shared" si="6"/>
        <v>0</v>
      </c>
      <c r="L37" s="148">
        <f t="shared" si="7"/>
        <v>0</v>
      </c>
      <c r="M37" s="148">
        <f t="shared" si="8"/>
        <v>0</v>
      </c>
      <c r="N37" s="148">
        <f t="shared" si="9"/>
        <v>0</v>
      </c>
      <c r="O37" s="165">
        <f t="shared" si="10"/>
        <v>0</v>
      </c>
    </row>
    <row r="38" spans="1:37" ht="25.5">
      <c r="A38" s="163">
        <v>23</v>
      </c>
      <c r="B38" s="70" t="s">
        <v>74</v>
      </c>
      <c r="C38" s="102" t="s">
        <v>40</v>
      </c>
      <c r="D38" s="102">
        <f>13.5*0.6</f>
        <v>8.1</v>
      </c>
      <c r="E38" s="146"/>
      <c r="F38" s="146"/>
      <c r="G38" s="147"/>
      <c r="H38" s="147"/>
      <c r="I38" s="147"/>
      <c r="J38" s="148">
        <f t="shared" si="5"/>
        <v>0</v>
      </c>
      <c r="K38" s="148">
        <f t="shared" si="6"/>
        <v>0</v>
      </c>
      <c r="L38" s="148">
        <f t="shared" si="7"/>
        <v>0</v>
      </c>
      <c r="M38" s="148">
        <f t="shared" si="8"/>
        <v>0</v>
      </c>
      <c r="N38" s="148">
        <f t="shared" si="9"/>
        <v>0</v>
      </c>
      <c r="O38" s="165">
        <f t="shared" si="10"/>
        <v>0</v>
      </c>
    </row>
    <row r="39" spans="1:37" s="118" customFormat="1" ht="13.5">
      <c r="A39" s="163">
        <v>24</v>
      </c>
      <c r="B39" s="139" t="s">
        <v>84</v>
      </c>
      <c r="C39" s="140"/>
      <c r="D39" s="174">
        <v>253</v>
      </c>
      <c r="E39" s="146"/>
      <c r="F39" s="146"/>
      <c r="G39" s="147"/>
      <c r="H39" s="147"/>
      <c r="I39" s="147"/>
      <c r="J39" s="148">
        <f t="shared" si="5"/>
        <v>0</v>
      </c>
      <c r="K39" s="148">
        <f t="shared" si="6"/>
        <v>0</v>
      </c>
      <c r="L39" s="148">
        <f t="shared" si="7"/>
        <v>0</v>
      </c>
      <c r="M39" s="148">
        <f t="shared" si="8"/>
        <v>0</v>
      </c>
      <c r="N39" s="148">
        <f t="shared" si="9"/>
        <v>0</v>
      </c>
      <c r="O39" s="165">
        <f t="shared" si="10"/>
        <v>0</v>
      </c>
    </row>
    <row r="40" spans="1:37" s="118" customFormat="1" ht="29.25" customHeight="1">
      <c r="A40" s="163">
        <v>25</v>
      </c>
      <c r="B40" s="149" t="s">
        <v>66</v>
      </c>
      <c r="C40" s="140" t="s">
        <v>67</v>
      </c>
      <c r="D40" s="150">
        <f>D43*0.7*1.1</f>
        <v>198.70620000000002</v>
      </c>
      <c r="E40" s="146"/>
      <c r="F40" s="146"/>
      <c r="G40" s="147"/>
      <c r="H40" s="147"/>
      <c r="I40" s="147"/>
      <c r="J40" s="148">
        <f t="shared" si="5"/>
        <v>0</v>
      </c>
      <c r="K40" s="148">
        <f t="shared" si="6"/>
        <v>0</v>
      </c>
      <c r="L40" s="148">
        <f t="shared" si="7"/>
        <v>0</v>
      </c>
      <c r="M40" s="148">
        <f t="shared" si="8"/>
        <v>0</v>
      </c>
      <c r="N40" s="148">
        <f t="shared" si="9"/>
        <v>0</v>
      </c>
      <c r="O40" s="165">
        <f t="shared" si="10"/>
        <v>0</v>
      </c>
    </row>
    <row r="41" spans="1:37" s="117" customFormat="1" ht="25.5" customHeight="1">
      <c r="A41" s="163">
        <v>26</v>
      </c>
      <c r="B41" s="70" t="s">
        <v>85</v>
      </c>
      <c r="C41" s="115" t="s">
        <v>37</v>
      </c>
      <c r="D41" s="151">
        <f>D43*1.1*0.2</f>
        <v>56.77320000000001</v>
      </c>
      <c r="E41" s="146"/>
      <c r="F41" s="146"/>
      <c r="G41" s="147"/>
      <c r="H41" s="147"/>
      <c r="I41" s="147"/>
      <c r="J41" s="148">
        <f t="shared" si="5"/>
        <v>0</v>
      </c>
      <c r="K41" s="148">
        <f t="shared" si="6"/>
        <v>0</v>
      </c>
      <c r="L41" s="148">
        <f t="shared" si="7"/>
        <v>0</v>
      </c>
      <c r="M41" s="148">
        <f t="shared" si="8"/>
        <v>0</v>
      </c>
      <c r="N41" s="148">
        <f t="shared" si="9"/>
        <v>0</v>
      </c>
      <c r="O41" s="165">
        <f t="shared" si="10"/>
        <v>0</v>
      </c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</row>
    <row r="42" spans="1:37" ht="25.5">
      <c r="A42" s="163">
        <v>27</v>
      </c>
      <c r="B42" s="70" t="s">
        <v>79</v>
      </c>
      <c r="C42" s="69" t="s">
        <v>37</v>
      </c>
      <c r="D42" s="151">
        <f>D43*1.05*0.25</f>
        <v>67.740750000000006</v>
      </c>
      <c r="E42" s="146"/>
      <c r="F42" s="146"/>
      <c r="G42" s="147"/>
      <c r="H42" s="147"/>
      <c r="I42" s="147"/>
      <c r="J42" s="148">
        <f t="shared" si="5"/>
        <v>0</v>
      </c>
      <c r="K42" s="148">
        <f t="shared" si="6"/>
        <v>0</v>
      </c>
      <c r="L42" s="148">
        <f t="shared" si="7"/>
        <v>0</v>
      </c>
      <c r="M42" s="148">
        <f t="shared" si="8"/>
        <v>0</v>
      </c>
      <c r="N42" s="148">
        <f t="shared" si="9"/>
        <v>0</v>
      </c>
      <c r="O42" s="165">
        <f t="shared" si="10"/>
        <v>0</v>
      </c>
    </row>
    <row r="43" spans="1:37" s="67" customFormat="1" ht="25.5">
      <c r="A43" s="163">
        <v>28</v>
      </c>
      <c r="B43" s="66" t="s">
        <v>83</v>
      </c>
      <c r="C43" s="69" t="s">
        <v>40</v>
      </c>
      <c r="D43" s="69">
        <f>D44*1.02</f>
        <v>258.06</v>
      </c>
      <c r="E43" s="146"/>
      <c r="F43" s="146"/>
      <c r="G43" s="147"/>
      <c r="H43" s="147"/>
      <c r="I43" s="147"/>
      <c r="J43" s="148">
        <f t="shared" si="5"/>
        <v>0</v>
      </c>
      <c r="K43" s="148">
        <f t="shared" si="6"/>
        <v>0</v>
      </c>
      <c r="L43" s="148">
        <f t="shared" si="7"/>
        <v>0</v>
      </c>
      <c r="M43" s="148">
        <f t="shared" si="8"/>
        <v>0</v>
      </c>
      <c r="N43" s="148">
        <f t="shared" si="9"/>
        <v>0</v>
      </c>
      <c r="O43" s="165">
        <f t="shared" si="10"/>
        <v>0</v>
      </c>
    </row>
    <row r="44" spans="1:37" s="67" customFormat="1" ht="25.5">
      <c r="A44" s="163">
        <v>29</v>
      </c>
      <c r="B44" s="66" t="s">
        <v>82</v>
      </c>
      <c r="C44" s="69" t="s">
        <v>40</v>
      </c>
      <c r="D44" s="69">
        <f>809.5-556.5</f>
        <v>253</v>
      </c>
      <c r="E44" s="146"/>
      <c r="F44" s="146"/>
      <c r="G44" s="147"/>
      <c r="H44" s="147"/>
      <c r="I44" s="147"/>
      <c r="J44" s="148">
        <f t="shared" si="5"/>
        <v>0</v>
      </c>
      <c r="K44" s="148">
        <f t="shared" si="6"/>
        <v>0</v>
      </c>
      <c r="L44" s="148">
        <f t="shared" si="7"/>
        <v>0</v>
      </c>
      <c r="M44" s="148">
        <f t="shared" si="8"/>
        <v>0</v>
      </c>
      <c r="N44" s="148">
        <f t="shared" si="9"/>
        <v>0</v>
      </c>
      <c r="O44" s="165">
        <f t="shared" si="10"/>
        <v>0</v>
      </c>
    </row>
    <row r="45" spans="1:37" s="68" customFormat="1" ht="20.45" customHeight="1" thickBot="1">
      <c r="A45" s="166" t="s">
        <v>6</v>
      </c>
      <c r="B45" s="167" t="s">
        <v>38</v>
      </c>
      <c r="C45" s="168"/>
      <c r="D45" s="169"/>
      <c r="E45" s="169"/>
      <c r="F45" s="169"/>
      <c r="G45" s="169"/>
      <c r="H45" s="169"/>
      <c r="I45" s="169"/>
      <c r="J45" s="169"/>
      <c r="K45" s="170">
        <f>SUM(K16:K44)</f>
        <v>0</v>
      </c>
      <c r="L45" s="170">
        <f>SUM(L16:L44)</f>
        <v>0</v>
      </c>
      <c r="M45" s="170">
        <f>SUM(M16:M44)</f>
        <v>0</v>
      </c>
      <c r="N45" s="170">
        <f>SUM(N16:N44)</f>
        <v>0</v>
      </c>
      <c r="O45" s="171">
        <f>SUM(O16:O44)</f>
        <v>0</v>
      </c>
    </row>
    <row r="46" spans="1:37" s="68" customFormat="1" ht="15">
      <c r="A46" s="16" t="s">
        <v>6</v>
      </c>
      <c r="B46" s="16"/>
      <c r="C46" s="16"/>
      <c r="D46" s="131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37" ht="15.75">
      <c r="A47" s="9"/>
      <c r="B47" s="175" t="s">
        <v>98</v>
      </c>
      <c r="C47" s="13"/>
      <c r="D47" s="133"/>
      <c r="E47" s="134"/>
      <c r="F47" s="134"/>
      <c r="G47" s="134"/>
      <c r="H47" s="135"/>
      <c r="I47" s="135"/>
      <c r="J47" s="136"/>
      <c r="K47" s="135"/>
      <c r="L47" s="132"/>
      <c r="M47" s="132"/>
      <c r="N47" s="132"/>
      <c r="O47" s="132"/>
    </row>
    <row r="48" spans="1:37">
      <c r="A48" s="16"/>
      <c r="B48" s="176" t="s">
        <v>94</v>
      </c>
      <c r="C48" s="18"/>
      <c r="D48" s="19"/>
      <c r="E48" s="137"/>
      <c r="F48" s="137"/>
      <c r="G48" s="137"/>
      <c r="H48" s="135"/>
      <c r="I48" s="135"/>
      <c r="J48" s="135"/>
      <c r="K48" s="135"/>
      <c r="L48" s="132"/>
      <c r="M48" s="132"/>
      <c r="N48" s="132"/>
      <c r="O48" s="132"/>
    </row>
    <row r="49" spans="1:15" ht="12.75" customHeight="1">
      <c r="A49" s="16"/>
      <c r="B49" s="177" t="s">
        <v>95</v>
      </c>
      <c r="C49" s="18"/>
      <c r="D49" s="19"/>
      <c r="E49" s="137"/>
      <c r="F49" s="137"/>
      <c r="G49" s="137"/>
      <c r="H49" s="135"/>
      <c r="I49" s="135"/>
      <c r="J49" s="135"/>
      <c r="K49" s="135"/>
      <c r="L49" s="132"/>
      <c r="M49" s="132"/>
      <c r="N49" s="132"/>
      <c r="O49" s="132"/>
    </row>
    <row r="50" spans="1:15" ht="12.75" customHeight="1">
      <c r="A50" s="16"/>
      <c r="B50" s="177"/>
      <c r="C50" s="21"/>
      <c r="D50" s="112"/>
      <c r="E50" s="135"/>
      <c r="F50" s="135"/>
      <c r="G50" s="135"/>
      <c r="H50" s="135"/>
      <c r="I50" s="135"/>
      <c r="J50" s="135"/>
      <c r="K50" s="135"/>
      <c r="L50" s="132"/>
      <c r="M50" s="132"/>
      <c r="N50" s="132"/>
      <c r="O50" s="132"/>
    </row>
    <row r="51" spans="1:15" ht="12.75" customHeight="1">
      <c r="A51" s="16"/>
      <c r="B51" s="175" t="s">
        <v>99</v>
      </c>
      <c r="C51" s="13"/>
      <c r="D51" s="133"/>
      <c r="E51" s="134"/>
      <c r="F51" s="134"/>
      <c r="G51" s="134"/>
      <c r="H51" s="135"/>
      <c r="I51" s="135"/>
      <c r="J51" s="135"/>
      <c r="K51" s="135"/>
      <c r="L51" s="132"/>
      <c r="M51" s="132"/>
      <c r="N51" s="132"/>
      <c r="O51" s="132"/>
    </row>
    <row r="52" spans="1:15" ht="12.75" customHeight="1">
      <c r="A52" s="16"/>
      <c r="B52" s="178" t="s">
        <v>96</v>
      </c>
      <c r="C52" s="18"/>
      <c r="D52" s="19"/>
      <c r="E52" s="137"/>
      <c r="F52" s="137"/>
      <c r="G52" s="137"/>
      <c r="H52" s="135"/>
      <c r="I52" s="135"/>
      <c r="J52" s="135"/>
      <c r="K52" s="135"/>
      <c r="L52" s="132"/>
      <c r="M52" s="132"/>
      <c r="N52" s="132"/>
      <c r="O52" s="132"/>
    </row>
    <row r="53" spans="1:15" ht="12.75" customHeight="1">
      <c r="A53" s="16"/>
      <c r="B53" s="177" t="s">
        <v>97</v>
      </c>
      <c r="C53" s="11"/>
      <c r="D53" s="131"/>
      <c r="E53" s="135"/>
      <c r="F53" s="135"/>
      <c r="G53" s="135"/>
      <c r="H53" s="135"/>
      <c r="I53" s="135"/>
      <c r="J53" s="135"/>
      <c r="K53" s="135"/>
      <c r="L53" s="132"/>
      <c r="M53" s="132"/>
      <c r="N53" s="132"/>
      <c r="O53" s="132"/>
    </row>
    <row r="54" spans="1:15" ht="12.75" customHeight="1">
      <c r="A54" s="16"/>
      <c r="B54" s="16"/>
      <c r="C54" s="16"/>
      <c r="D54" s="131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</row>
    <row r="55" spans="1:15" ht="12.75" customHeight="1">
      <c r="A55" s="16"/>
      <c r="B55" s="16"/>
      <c r="C55" s="16"/>
      <c r="D55" s="131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</row>
    <row r="56" spans="1:15" ht="12.75" customHeight="1">
      <c r="A56" s="16"/>
      <c r="B56" s="16"/>
      <c r="C56" s="16"/>
      <c r="D56" s="131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</row>
  </sheetData>
  <mergeCells count="9">
    <mergeCell ref="A1:O1"/>
    <mergeCell ref="M10:N10"/>
    <mergeCell ref="C12:C13"/>
    <mergeCell ref="D12:D13"/>
    <mergeCell ref="E12:J12"/>
    <mergeCell ref="K12:O12"/>
    <mergeCell ref="A5:C5"/>
    <mergeCell ref="D7:W7"/>
    <mergeCell ref="D8:W8"/>
  </mergeCells>
  <pageMargins left="0.31496062992125984" right="0.31496062992125984" top="0.74803149606299213" bottom="0.35433070866141736" header="0.31496062992125984" footer="0.31496062992125984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Q39"/>
  <sheetViews>
    <sheetView topLeftCell="A13" workbookViewId="0">
      <selection activeCell="G39" sqref="G39"/>
    </sheetView>
  </sheetViews>
  <sheetFormatPr defaultRowHeight="15"/>
  <cols>
    <col min="2" max="2" width="14.28515625" customWidth="1"/>
  </cols>
  <sheetData>
    <row r="2" spans="2:17">
      <c r="K2" t="s">
        <v>50</v>
      </c>
    </row>
    <row r="3" spans="2:17">
      <c r="K3" t="s">
        <v>52</v>
      </c>
      <c r="L3">
        <v>8.9580000000000002</v>
      </c>
      <c r="M3">
        <v>12.590999999999999</v>
      </c>
      <c r="N3">
        <f>(L3+M3)/2</f>
        <v>10.7745</v>
      </c>
      <c r="O3">
        <f>16.3+0.23*2</f>
        <v>16.760000000000002</v>
      </c>
      <c r="P3">
        <f>N3*O3</f>
        <v>180.58062000000001</v>
      </c>
    </row>
    <row r="4" spans="2:17">
      <c r="B4" t="s">
        <v>43</v>
      </c>
      <c r="C4">
        <v>2.5</v>
      </c>
      <c r="D4">
        <v>2.5</v>
      </c>
      <c r="E4">
        <v>2</v>
      </c>
      <c r="F4">
        <f>C4*D4*E4</f>
        <v>12.5</v>
      </c>
      <c r="N4">
        <v>8.9580000000000002</v>
      </c>
      <c r="O4">
        <f>25+2*0.23</f>
        <v>25.46</v>
      </c>
      <c r="P4">
        <f t="shared" ref="P4:P6" si="0">N4*O4</f>
        <v>228.07068000000001</v>
      </c>
    </row>
    <row r="5" spans="2:17">
      <c r="B5" t="s">
        <v>44</v>
      </c>
      <c r="C5">
        <v>2.5</v>
      </c>
      <c r="D5">
        <v>2.5</v>
      </c>
      <c r="E5">
        <v>2</v>
      </c>
      <c r="F5">
        <f t="shared" ref="F5:F10" si="1">C5*D5*E5</f>
        <v>12.5</v>
      </c>
      <c r="L5">
        <v>8.9580000000000002</v>
      </c>
      <c r="M5">
        <v>12.590999999999999</v>
      </c>
      <c r="N5">
        <f>(L5+M5)/2</f>
        <v>10.7745</v>
      </c>
      <c r="O5">
        <f>16.3+0.23*2</f>
        <v>16.760000000000002</v>
      </c>
      <c r="P5">
        <f t="shared" si="0"/>
        <v>180.58062000000001</v>
      </c>
    </row>
    <row r="6" spans="2:17">
      <c r="B6" t="s">
        <v>45</v>
      </c>
      <c r="C6">
        <v>1.7</v>
      </c>
      <c r="D6">
        <v>1.7</v>
      </c>
      <c r="E6">
        <v>2</v>
      </c>
      <c r="F6">
        <f t="shared" si="1"/>
        <v>5.7799999999999994</v>
      </c>
      <c r="N6">
        <v>12.590999999999999</v>
      </c>
      <c r="O6">
        <f>25+2*0.23</f>
        <v>25.46</v>
      </c>
      <c r="P6">
        <f t="shared" si="0"/>
        <v>320.56686000000002</v>
      </c>
    </row>
    <row r="7" spans="2:17">
      <c r="B7" t="s">
        <v>46</v>
      </c>
      <c r="C7">
        <v>1.7</v>
      </c>
      <c r="D7">
        <v>1.7</v>
      </c>
      <c r="E7">
        <v>4</v>
      </c>
      <c r="F7">
        <f t="shared" si="1"/>
        <v>11.559999999999999</v>
      </c>
      <c r="P7" s="73">
        <f>SUM(P3:P6)</f>
        <v>909.79877999999997</v>
      </c>
      <c r="Q7" s="74">
        <f>P7-4*4</f>
        <v>893.79877999999997</v>
      </c>
    </row>
    <row r="8" spans="2:17">
      <c r="B8" t="s">
        <v>47</v>
      </c>
      <c r="C8">
        <v>1.7</v>
      </c>
      <c r="D8">
        <v>1.7</v>
      </c>
      <c r="E8">
        <v>2</v>
      </c>
      <c r="F8">
        <f t="shared" si="1"/>
        <v>5.7799999999999994</v>
      </c>
    </row>
    <row r="9" spans="2:17">
      <c r="B9" t="s">
        <v>48</v>
      </c>
      <c r="C9">
        <v>2.7</v>
      </c>
      <c r="D9">
        <v>2.7</v>
      </c>
      <c r="E9">
        <v>2</v>
      </c>
      <c r="F9">
        <f t="shared" si="1"/>
        <v>14.580000000000002</v>
      </c>
      <c r="K9" t="s">
        <v>50</v>
      </c>
      <c r="L9">
        <f>11.797-0.75</f>
        <v>11.047000000000001</v>
      </c>
      <c r="M9">
        <f>10.73-0.75</f>
        <v>9.98</v>
      </c>
      <c r="N9">
        <f>(L9+M9)/2</f>
        <v>10.513500000000001</v>
      </c>
      <c r="O9">
        <v>5.2249999999999996</v>
      </c>
      <c r="P9">
        <f t="shared" ref="P9:P18" si="2">N9*O9</f>
        <v>54.933037499999998</v>
      </c>
    </row>
    <row r="10" spans="2:17">
      <c r="B10" t="s">
        <v>49</v>
      </c>
      <c r="C10">
        <v>3.2</v>
      </c>
      <c r="D10">
        <v>3.2</v>
      </c>
      <c r="E10">
        <v>2</v>
      </c>
      <c r="F10">
        <f t="shared" si="1"/>
        <v>20.480000000000004</v>
      </c>
      <c r="K10" t="s">
        <v>51</v>
      </c>
      <c r="N10">
        <f>11.797-0.75</f>
        <v>11.047000000000001</v>
      </c>
      <c r="O10">
        <v>15.2</v>
      </c>
      <c r="P10">
        <f t="shared" si="2"/>
        <v>167.9144</v>
      </c>
    </row>
    <row r="11" spans="2:17">
      <c r="E11" s="73">
        <f>SUM(E4:E10)</f>
        <v>16</v>
      </c>
      <c r="F11" s="73">
        <f>SUM(F4:F10)</f>
        <v>83.18</v>
      </c>
      <c r="G11" s="74">
        <f>F11*0.2</f>
        <v>16.636000000000003</v>
      </c>
      <c r="L11">
        <f>11.797-0.75</f>
        <v>11.047000000000001</v>
      </c>
      <c r="M11">
        <f>10.73-0.75</f>
        <v>9.98</v>
      </c>
      <c r="N11">
        <f>(L11+M11)/2</f>
        <v>10.513500000000001</v>
      </c>
      <c r="O11">
        <v>5.2249999999999996</v>
      </c>
      <c r="P11">
        <f t="shared" si="2"/>
        <v>54.933037499999998</v>
      </c>
    </row>
    <row r="12" spans="2:17">
      <c r="N12">
        <f>10.73-0.75</f>
        <v>9.98</v>
      </c>
      <c r="O12">
        <v>15.2</v>
      </c>
      <c r="P12">
        <f t="shared" si="2"/>
        <v>151.696</v>
      </c>
    </row>
    <row r="13" spans="2:17">
      <c r="C13">
        <v>3.7</v>
      </c>
      <c r="D13">
        <v>5.5</v>
      </c>
      <c r="F13">
        <f>C13*D13</f>
        <v>20.350000000000001</v>
      </c>
      <c r="P13" s="73">
        <f>SUM(P9:P12)</f>
        <v>429.47647500000005</v>
      </c>
      <c r="Q13" s="74">
        <f>P13-10*4.1*2</f>
        <v>347.47647500000005</v>
      </c>
    </row>
    <row r="14" spans="2:17">
      <c r="C14">
        <v>5.6</v>
      </c>
      <c r="D14">
        <v>12.7</v>
      </c>
      <c r="F14">
        <f>C14*D14</f>
        <v>71.11999999999999</v>
      </c>
    </row>
    <row r="15" spans="2:17">
      <c r="F15" s="73">
        <f>SUM(F13:F14)</f>
        <v>91.47</v>
      </c>
      <c r="G15" s="74">
        <f>F15*0.2</f>
        <v>18.294</v>
      </c>
      <c r="K15" t="s">
        <v>53</v>
      </c>
      <c r="L15">
        <f>15.578-5.96</f>
        <v>9.6179999999999986</v>
      </c>
      <c r="M15">
        <f>13.464-5.96</f>
        <v>7.5040000000000004</v>
      </c>
      <c r="N15">
        <f>(L15+M15)/2</f>
        <v>8.5609999999999999</v>
      </c>
      <c r="O15">
        <v>7.867</v>
      </c>
      <c r="P15">
        <f t="shared" si="2"/>
        <v>67.349386999999993</v>
      </c>
    </row>
    <row r="16" spans="2:17">
      <c r="K16" t="s">
        <v>54</v>
      </c>
      <c r="N16">
        <f>15.578-5.96</f>
        <v>9.6179999999999986</v>
      </c>
      <c r="O16">
        <v>7.8339999999999996</v>
      </c>
      <c r="P16">
        <f t="shared" si="2"/>
        <v>75.347411999999991</v>
      </c>
    </row>
    <row r="17" spans="2:17">
      <c r="L17">
        <f>15.578-5.96</f>
        <v>9.6179999999999986</v>
      </c>
      <c r="M17">
        <f>13.464-5.96</f>
        <v>7.5040000000000004</v>
      </c>
      <c r="N17">
        <f>(L17+M17)/2</f>
        <v>8.5609999999999999</v>
      </c>
      <c r="O17">
        <v>7.867</v>
      </c>
      <c r="P17">
        <f t="shared" si="2"/>
        <v>67.349386999999993</v>
      </c>
    </row>
    <row r="18" spans="2:17">
      <c r="B18">
        <v>-3.9</v>
      </c>
      <c r="C18">
        <v>3.7</v>
      </c>
      <c r="D18">
        <v>5.2</v>
      </c>
      <c r="F18">
        <f>C18*D18</f>
        <v>19.240000000000002</v>
      </c>
      <c r="N18">
        <f>13.464-5.96</f>
        <v>7.5040000000000004</v>
      </c>
      <c r="O18">
        <v>7.8339999999999996</v>
      </c>
      <c r="P18">
        <f t="shared" si="2"/>
        <v>58.786335999999999</v>
      </c>
    </row>
    <row r="19" spans="2:17">
      <c r="B19">
        <v>0</v>
      </c>
      <c r="C19">
        <v>8.8000000000000007</v>
      </c>
      <c r="D19">
        <v>8.6999999999999993</v>
      </c>
      <c r="E19">
        <f>-3*(0.66+3.31+0.25)</f>
        <v>-12.660000000000002</v>
      </c>
      <c r="F19">
        <f>C19*D19-E19</f>
        <v>89.22</v>
      </c>
      <c r="P19" s="73">
        <f>SUM(P15:P18)</f>
        <v>268.83252199999998</v>
      </c>
      <c r="Q19" s="74">
        <f>P19</f>
        <v>268.83252199999998</v>
      </c>
    </row>
    <row r="20" spans="2:17">
      <c r="F20" s="73">
        <f>SUM(F18:F19)</f>
        <v>108.46000000000001</v>
      </c>
      <c r="G20" s="74">
        <f>F20*0.2</f>
        <v>21.692000000000004</v>
      </c>
    </row>
    <row r="21" spans="2:17">
      <c r="K21" t="s">
        <v>53</v>
      </c>
      <c r="L21">
        <v>3.585</v>
      </c>
      <c r="M21">
        <v>4.4320000000000004</v>
      </c>
      <c r="N21">
        <f>(L21+M21)/2</f>
        <v>4.0084999999999997</v>
      </c>
      <c r="O21">
        <v>4.8</v>
      </c>
      <c r="P21">
        <f t="shared" ref="P21:P24" si="3">N21*O21</f>
        <v>19.240799999999997</v>
      </c>
    </row>
    <row r="22" spans="2:17">
      <c r="K22" t="s">
        <v>55</v>
      </c>
      <c r="N22">
        <v>3.585</v>
      </c>
      <c r="O22">
        <v>7.6</v>
      </c>
      <c r="P22">
        <f t="shared" si="3"/>
        <v>27.245999999999999</v>
      </c>
    </row>
    <row r="23" spans="2:17">
      <c r="B23">
        <v>-1.8</v>
      </c>
      <c r="C23">
        <v>3.8</v>
      </c>
      <c r="D23">
        <v>3.2</v>
      </c>
      <c r="F23">
        <f>C23*D23</f>
        <v>12.16</v>
      </c>
      <c r="L23">
        <v>3.585</v>
      </c>
      <c r="M23">
        <v>4.4320000000000004</v>
      </c>
      <c r="N23">
        <f>(L23+M23)/2</f>
        <v>4.0084999999999997</v>
      </c>
      <c r="O23">
        <v>4.8</v>
      </c>
      <c r="P23">
        <f t="shared" si="3"/>
        <v>19.240799999999997</v>
      </c>
    </row>
    <row r="24" spans="2:17">
      <c r="B24">
        <v>0.1</v>
      </c>
      <c r="C24">
        <v>5.4</v>
      </c>
      <c r="D24">
        <v>4.9000000000000004</v>
      </c>
      <c r="F24">
        <f>C24*D24-E24</f>
        <v>26.460000000000004</v>
      </c>
      <c r="N24">
        <v>4.4320000000000004</v>
      </c>
      <c r="O24">
        <v>7.6</v>
      </c>
      <c r="P24">
        <f t="shared" si="3"/>
        <v>33.683199999999999</v>
      </c>
    </row>
    <row r="25" spans="2:17">
      <c r="C25">
        <v>8.6999999999999993</v>
      </c>
      <c r="D25">
        <v>18.399999999999999</v>
      </c>
      <c r="F25">
        <f>C25*D25</f>
        <v>160.07999999999998</v>
      </c>
      <c r="P25" s="73">
        <f>SUM(P21:P24)</f>
        <v>99.410799999999995</v>
      </c>
      <c r="Q25" s="74">
        <f>P25-4.1*3</f>
        <v>87.110799999999998</v>
      </c>
    </row>
    <row r="26" spans="2:17">
      <c r="F26" s="73">
        <f>SUM(F23:F25)</f>
        <v>198.7</v>
      </c>
      <c r="G26" s="74">
        <f>F26*0.2</f>
        <v>39.74</v>
      </c>
    </row>
    <row r="27" spans="2:17">
      <c r="K27" t="s">
        <v>56</v>
      </c>
    </row>
    <row r="28" spans="2:17">
      <c r="B28">
        <v>-3.4</v>
      </c>
      <c r="C28">
        <v>3.3</v>
      </c>
      <c r="D28">
        <v>4.5999999999999996</v>
      </c>
      <c r="F28">
        <f>C28*D28-E28</f>
        <v>15.179999999999998</v>
      </c>
      <c r="K28" t="s">
        <v>50</v>
      </c>
    </row>
    <row r="29" spans="2:17">
      <c r="C29">
        <v>23.3</v>
      </c>
      <c r="D29">
        <v>3</v>
      </c>
      <c r="F29">
        <f>C29*D29-E29</f>
        <v>69.900000000000006</v>
      </c>
    </row>
    <row r="30" spans="2:17">
      <c r="F30" s="73">
        <f>SUM(F28:F29)</f>
        <v>85.08</v>
      </c>
      <c r="G30" s="74">
        <f>F30*0.2</f>
        <v>17.016000000000002</v>
      </c>
    </row>
    <row r="33" spans="3:7">
      <c r="C33">
        <v>1.2</v>
      </c>
      <c r="D33">
        <v>4.2</v>
      </c>
      <c r="F33">
        <f>C33*D33*4</f>
        <v>20.16</v>
      </c>
      <c r="G33">
        <f>F33</f>
        <v>20.16</v>
      </c>
    </row>
    <row r="34" spans="3:7">
      <c r="C34">
        <v>4.2</v>
      </c>
      <c r="D34">
        <v>4.2</v>
      </c>
    </row>
    <row r="37" spans="3:7">
      <c r="C37">
        <v>1.853</v>
      </c>
      <c r="D37">
        <v>4.4000000000000004</v>
      </c>
      <c r="E37">
        <v>4</v>
      </c>
      <c r="F37">
        <f>C37*D37*E37</f>
        <v>32.6128</v>
      </c>
    </row>
    <row r="38" spans="3:7">
      <c r="C38">
        <v>4.5</v>
      </c>
      <c r="D38">
        <v>4.4000000000000004</v>
      </c>
      <c r="E38">
        <v>2</v>
      </c>
      <c r="F38">
        <f>C38*D38*E38</f>
        <v>39.6</v>
      </c>
    </row>
    <row r="39" spans="3:7">
      <c r="F39" s="73">
        <f>SUM(F37:F38)</f>
        <v>72.212800000000001</v>
      </c>
      <c r="G39" s="74">
        <f>F39*0.4</f>
        <v>28.885120000000001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koptāme (2)</vt:lpstr>
      <vt:lpstr>Ikārta</vt:lpstr>
      <vt:lpstr>1-1</vt:lpstr>
      <vt:lpstr>Sheet8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Ieva Circene</cp:lastModifiedBy>
  <cp:revision/>
  <cp:lastPrinted>2023-05-12T09:52:14Z</cp:lastPrinted>
  <dcterms:created xsi:type="dcterms:W3CDTF">2019-01-18T08:05:37Z</dcterms:created>
  <dcterms:modified xsi:type="dcterms:W3CDTF">2026-05-05T08:52:28Z</dcterms:modified>
  <cp:category/>
  <cp:contentStatus/>
</cp:coreProperties>
</file>