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cer\Desktop\4. korpusa parbuve\Iepirkums\"/>
    </mc:Choice>
  </mc:AlternateContent>
  <xr:revisionPtr revIDLastSave="0" documentId="13_ncr:1_{A4228F38-C7BB-416F-B140-A4F57FBBCBA3}" xr6:coauthVersionLast="47" xr6:coauthVersionMax="47" xr10:uidLastSave="{00000000-0000-0000-0000-000000000000}"/>
  <bookViews>
    <workbookView xWindow="-108" yWindow="-108" windowWidth="23256" windowHeight="12456" tabRatio="724" activeTab="12" xr2:uid="{00000000-000D-0000-FFFF-FFFF00000000}"/>
  </bookViews>
  <sheets>
    <sheet name="Koptame" sheetId="2" r:id="rId1"/>
    <sheet name="kops1" sheetId="22" r:id="rId2"/>
    <sheet name="1,1" sheetId="9" r:id="rId3"/>
    <sheet name="1,2" sheetId="10" r:id="rId4"/>
    <sheet name="1,3" sheetId="67" r:id="rId5"/>
    <sheet name="kops2" sheetId="33" r:id="rId6"/>
    <sheet name="2,1" sheetId="34" r:id="rId7"/>
    <sheet name="2,2" sheetId="35" r:id="rId8"/>
    <sheet name="kops3" sheetId="54" r:id="rId9"/>
    <sheet name="3,1" sheetId="55" r:id="rId10"/>
    <sheet name="3,2" sheetId="68" r:id="rId11"/>
    <sheet name="kops4" sheetId="65" r:id="rId12"/>
    <sheet name="4,1" sheetId="66" r:id="rId13"/>
  </sheets>
  <externalReferences>
    <externalReference r:id="rId14"/>
    <externalReference r:id="rId15"/>
  </externalReferences>
  <definedNames>
    <definedName name="A">'[1]2'!$A$1</definedName>
    <definedName name="_xlnm.Print_Area" localSheetId="4">'1,3'!$A$1:$P$312</definedName>
    <definedName name="_xlnm.Print_Area" localSheetId="10">'3,2'!$A$1:$P$50</definedName>
    <definedName name="_xlnm.Print_Area" localSheetId="0">Koptame!$A$1:$E$45</definedName>
    <definedName name="_xlnm.Print_Titles" localSheetId="2">'1,1'!$11:$12</definedName>
    <definedName name="_xlnm.Print_Titles" localSheetId="3">'1,2'!$11:$12</definedName>
    <definedName name="_xlnm.Print_Titles" localSheetId="4">'1,3'!$11:$12</definedName>
    <definedName name="_xlnm.Print_Titles" localSheetId="6">'2,1'!$11:$12</definedName>
    <definedName name="_xlnm.Print_Titles" localSheetId="7">'2,2'!$11:$12</definedName>
    <definedName name="_xlnm.Print_Titles" localSheetId="9">'3,1'!$11:$12</definedName>
    <definedName name="_xlnm.Print_Titles" localSheetId="12">'4,1'!$11:$12</definedName>
    <definedName name="_xlnm.Print_Titles" localSheetId="1">kops1!$18:$19</definedName>
    <definedName name="_xlnm.Print_Titles" localSheetId="5">kops2!$18:$19</definedName>
    <definedName name="_xlnm.Print_Titles" localSheetId="8">kops3!$18:$19</definedName>
    <definedName name="_xlnm.Print_Titles" localSheetId="11">kops4!$18:$19</definedName>
    <definedName name="P" localSheetId="2">#REF!</definedName>
    <definedName name="P" localSheetId="3">#REF!</definedName>
    <definedName name="P" localSheetId="4">#REF!</definedName>
    <definedName name="P" localSheetId="6">#REF!</definedName>
    <definedName name="P" localSheetId="7">#REF!</definedName>
    <definedName name="P" localSheetId="9">#REF!</definedName>
    <definedName name="P" localSheetId="12">#REF!</definedName>
    <definedName name="P" localSheetId="1">#REF!</definedName>
    <definedName name="P" localSheetId="5">#REF!</definedName>
    <definedName name="P" localSheetId="8">#REF!</definedName>
    <definedName name="P" localSheetId="11">#REF!</definedName>
    <definedName name="P">#REF!</definedName>
  </definedNames>
  <calcPr calcId="181029"/>
</workbook>
</file>

<file path=xl/calcChain.xml><?xml version="1.0" encoding="utf-8"?>
<calcChain xmlns="http://schemas.openxmlformats.org/spreadsheetml/2006/main">
  <c r="E290" i="67" l="1"/>
  <c r="E292" i="67" s="1"/>
  <c r="E288" i="67"/>
  <c r="E287" i="67"/>
  <c r="E284" i="67"/>
  <c r="E218" i="67"/>
  <c r="E204" i="67"/>
  <c r="A16" i="67"/>
  <c r="A17" i="67"/>
  <c r="A20" i="67"/>
  <c r="A22" i="67"/>
  <c r="A37" i="67"/>
  <c r="A52" i="67"/>
  <c r="A67" i="67"/>
  <c r="A82" i="67"/>
  <c r="A97" i="67"/>
  <c r="A112" i="67"/>
  <c r="A127" i="67"/>
  <c r="A142" i="67"/>
  <c r="A157" i="67"/>
  <c r="A161" i="67"/>
  <c r="A166" i="67"/>
  <c r="A167" i="67"/>
  <c r="A181" i="67"/>
  <c r="A196" i="67"/>
  <c r="A210" i="67"/>
  <c r="A224" i="67"/>
  <c r="A238" i="67"/>
  <c r="A249" i="67"/>
  <c r="A259" i="67"/>
  <c r="A264" i="67"/>
  <c r="A267" i="67"/>
  <c r="A269" i="67"/>
  <c r="A275" i="67"/>
  <c r="A276" i="67"/>
  <c r="A280" i="67"/>
  <c r="A282" i="67"/>
  <c r="A294" i="67"/>
  <c r="A299" i="67"/>
  <c r="E199" i="67"/>
  <c r="E201" i="67" s="1"/>
  <c r="E213" i="67"/>
  <c r="E215" i="67" s="1"/>
  <c r="E170" i="67"/>
  <c r="E172" i="67" s="1"/>
  <c r="E121" i="67"/>
  <c r="E123" i="67" s="1"/>
  <c r="E106" i="67"/>
  <c r="E108" i="67" s="1"/>
  <c r="E91" i="67"/>
  <c r="E93" i="67" s="1"/>
  <c r="E76" i="67"/>
  <c r="E78" i="67" s="1"/>
  <c r="E175" i="67"/>
  <c r="E119" i="67"/>
  <c r="E104" i="67"/>
  <c r="E89" i="67"/>
  <c r="E74" i="67"/>
  <c r="E59" i="67"/>
  <c r="E43" i="67"/>
  <c r="E61" i="67"/>
  <c r="E63" i="67" s="1"/>
  <c r="E46" i="67"/>
  <c r="E48" i="67" s="1"/>
  <c r="E31" i="67"/>
  <c r="E32" i="67" s="1"/>
  <c r="E29" i="67"/>
  <c r="E28" i="67"/>
  <c r="E291" i="67" l="1"/>
  <c r="E214" i="67"/>
  <c r="E200" i="67"/>
  <c r="E171" i="67"/>
  <c r="E122" i="67"/>
  <c r="E107" i="67"/>
  <c r="E92" i="67"/>
  <c r="E77" i="67"/>
  <c r="E118" i="67"/>
  <c r="E103" i="67"/>
  <c r="E88" i="67"/>
  <c r="E44" i="67"/>
  <c r="E73" i="67"/>
  <c r="E58" i="67"/>
  <c r="E62" i="67"/>
  <c r="E47" i="67"/>
  <c r="E33" i="67"/>
  <c r="E16" i="66" l="1"/>
  <c r="E18" i="67"/>
  <c r="A18" i="67" l="1"/>
  <c r="E19" i="67"/>
  <c r="A19" i="67" s="1"/>
  <c r="A21" i="67" l="1"/>
  <c r="E189" i="67"/>
  <c r="E192" i="67"/>
  <c r="E193" i="67"/>
  <c r="E194" i="67"/>
  <c r="E195" i="67"/>
  <c r="E184" i="67"/>
  <c r="E183" i="67"/>
  <c r="L48" i="68"/>
  <c r="A45" i="68"/>
  <c r="A44" i="68"/>
  <c r="O41" i="68"/>
  <c r="N41" i="68"/>
  <c r="M41" i="68"/>
  <c r="L41" i="68"/>
  <c r="C13" i="68"/>
  <c r="A2" i="68" s="1"/>
  <c r="L9" i="68"/>
  <c r="A7" i="68"/>
  <c r="D6" i="68"/>
  <c r="C6" i="68"/>
  <c r="D5" i="68"/>
  <c r="D4" i="68"/>
  <c r="D3" i="68"/>
  <c r="O44" i="35"/>
  <c r="N44" i="35"/>
  <c r="M44" i="35"/>
  <c r="P44" i="35" s="1"/>
  <c r="L44" i="35"/>
  <c r="K44" i="35"/>
  <c r="O43" i="35"/>
  <c r="N43" i="35"/>
  <c r="M43" i="35"/>
  <c r="L43" i="35"/>
  <c r="K43" i="35"/>
  <c r="O42" i="35"/>
  <c r="N42" i="35"/>
  <c r="M42" i="35"/>
  <c r="L42" i="35"/>
  <c r="K42" i="35"/>
  <c r="O41" i="35"/>
  <c r="N41" i="35"/>
  <c r="M41" i="35"/>
  <c r="L41" i="35"/>
  <c r="K41" i="35"/>
  <c r="O40" i="35"/>
  <c r="N40" i="35"/>
  <c r="M40" i="35"/>
  <c r="L40" i="35"/>
  <c r="K40" i="35"/>
  <c r="O39" i="35"/>
  <c r="N39" i="35"/>
  <c r="M39" i="35"/>
  <c r="L39" i="35"/>
  <c r="K39" i="35"/>
  <c r="O38" i="35"/>
  <c r="N38" i="35"/>
  <c r="M38" i="35"/>
  <c r="L38" i="35"/>
  <c r="K38" i="35"/>
  <c r="O37" i="35"/>
  <c r="N37" i="35"/>
  <c r="M37" i="35"/>
  <c r="L37" i="35"/>
  <c r="K37" i="35"/>
  <c r="O36" i="35"/>
  <c r="N36" i="35"/>
  <c r="M36" i="35"/>
  <c r="L36" i="35"/>
  <c r="K36" i="35"/>
  <c r="O35" i="35"/>
  <c r="N35" i="35"/>
  <c r="M35" i="35"/>
  <c r="L35" i="35"/>
  <c r="K35" i="35"/>
  <c r="K34" i="35"/>
  <c r="E34" i="35"/>
  <c r="O34" i="35" s="1"/>
  <c r="O33" i="35"/>
  <c r="N33" i="35"/>
  <c r="M33" i="35"/>
  <c r="L33" i="35"/>
  <c r="K33" i="35"/>
  <c r="O32" i="35"/>
  <c r="N32" i="35"/>
  <c r="M32" i="35"/>
  <c r="L32" i="35"/>
  <c r="K32" i="35"/>
  <c r="O31" i="35"/>
  <c r="N31" i="35"/>
  <c r="M31" i="35"/>
  <c r="L31" i="35"/>
  <c r="K31" i="35"/>
  <c r="O30" i="35"/>
  <c r="N30" i="35"/>
  <c r="M30" i="35"/>
  <c r="L30" i="35"/>
  <c r="K30" i="35"/>
  <c r="O29" i="35"/>
  <c r="N29" i="35"/>
  <c r="M29" i="35"/>
  <c r="P29" i="35" s="1"/>
  <c r="L29" i="35"/>
  <c r="K29" i="35"/>
  <c r="O28" i="35"/>
  <c r="N28" i="35"/>
  <c r="M28" i="35"/>
  <c r="L28" i="35"/>
  <c r="K28" i="35"/>
  <c r="O27" i="35"/>
  <c r="N27" i="35"/>
  <c r="M27" i="35"/>
  <c r="L27" i="35"/>
  <c r="K27" i="35"/>
  <c r="O26" i="35"/>
  <c r="N26" i="35"/>
  <c r="M26" i="35"/>
  <c r="L26" i="35"/>
  <c r="K26" i="35"/>
  <c r="O25" i="35"/>
  <c r="N25" i="35"/>
  <c r="M25" i="35"/>
  <c r="L25" i="35"/>
  <c r="K25" i="35"/>
  <c r="O24" i="35"/>
  <c r="N24" i="35"/>
  <c r="M24" i="35"/>
  <c r="L24" i="35"/>
  <c r="K24" i="35"/>
  <c r="O23" i="35"/>
  <c r="N23" i="35"/>
  <c r="M23" i="35"/>
  <c r="L23" i="35"/>
  <c r="K23" i="35"/>
  <c r="O22" i="35"/>
  <c r="N22" i="35"/>
  <c r="M22" i="35"/>
  <c r="L22" i="35"/>
  <c r="K22" i="35"/>
  <c r="O21" i="35"/>
  <c r="N21" i="35"/>
  <c r="M21" i="35"/>
  <c r="L21" i="35"/>
  <c r="K21" i="35"/>
  <c r="O20" i="35"/>
  <c r="N20" i="35"/>
  <c r="M20" i="35"/>
  <c r="L20" i="35"/>
  <c r="K20" i="35"/>
  <c r="O19" i="35"/>
  <c r="N19" i="35"/>
  <c r="M19" i="35"/>
  <c r="L19" i="35"/>
  <c r="K19" i="35"/>
  <c r="O18" i="35"/>
  <c r="N18" i="35"/>
  <c r="M18" i="35"/>
  <c r="L18" i="35"/>
  <c r="K18" i="35"/>
  <c r="O17" i="35"/>
  <c r="N17" i="35"/>
  <c r="M17" i="35"/>
  <c r="P17" i="35" s="1"/>
  <c r="L17" i="35"/>
  <c r="K17" i="35"/>
  <c r="O16" i="35"/>
  <c r="N16" i="35"/>
  <c r="M16" i="35"/>
  <c r="L16" i="35"/>
  <c r="K16" i="35"/>
  <c r="O15" i="35"/>
  <c r="N15" i="35"/>
  <c r="M15" i="35"/>
  <c r="L15" i="35"/>
  <c r="K15" i="35"/>
  <c r="O14" i="35"/>
  <c r="N14" i="35"/>
  <c r="M14" i="35"/>
  <c r="L14" i="35"/>
  <c r="K14" i="35"/>
  <c r="O13" i="35"/>
  <c r="N13" i="35"/>
  <c r="M13" i="35"/>
  <c r="L13" i="35"/>
  <c r="K13" i="35"/>
  <c r="C13" i="35"/>
  <c r="E190" i="67" l="1"/>
  <c r="E185" i="67"/>
  <c r="E187" i="67" s="1"/>
  <c r="P41" i="68"/>
  <c r="P7" i="68" s="1"/>
  <c r="P24" i="35"/>
  <c r="P42" i="35"/>
  <c r="O46" i="35"/>
  <c r="P40" i="35"/>
  <c r="P43" i="35"/>
  <c r="P21" i="35"/>
  <c r="P33" i="35"/>
  <c r="P36" i="35"/>
  <c r="P20" i="35"/>
  <c r="P32" i="35"/>
  <c r="P35" i="35"/>
  <c r="P13" i="35"/>
  <c r="P25" i="35"/>
  <c r="P18" i="35"/>
  <c r="P30" i="35"/>
  <c r="P38" i="35"/>
  <c r="P14" i="35"/>
  <c r="P26" i="35"/>
  <c r="P41" i="35"/>
  <c r="P19" i="35"/>
  <c r="P31" i="35"/>
  <c r="P39" i="35"/>
  <c r="P22" i="35"/>
  <c r="P15" i="35"/>
  <c r="P27" i="35"/>
  <c r="P37" i="35"/>
  <c r="P23" i="35"/>
  <c r="P16" i="35"/>
  <c r="P28" i="35"/>
  <c r="L34" i="35"/>
  <c r="L46" i="35" s="1"/>
  <c r="M34" i="35"/>
  <c r="M46" i="35" s="1"/>
  <c r="N34" i="35"/>
  <c r="N46" i="35" s="1"/>
  <c r="E186" i="67" l="1"/>
  <c r="P34" i="35"/>
  <c r="P46" i="35" s="1"/>
  <c r="E258" i="67" l="1"/>
  <c r="E255" i="67"/>
  <c r="E256" i="67" s="1"/>
  <c r="E250" i="67" l="1"/>
  <c r="E251" i="67" s="1"/>
  <c r="E237" i="67"/>
  <c r="E236" i="67"/>
  <c r="E235" i="67"/>
  <c r="E234" i="67"/>
  <c r="E231" i="67"/>
  <c r="E232" i="67" s="1"/>
  <c r="E226" i="67"/>
  <c r="E225" i="67"/>
  <c r="E248" i="67"/>
  <c r="E245" i="67"/>
  <c r="E246" i="67" s="1"/>
  <c r="E240" i="67"/>
  <c r="E239" i="67"/>
  <c r="E155" i="67"/>
  <c r="E144" i="67"/>
  <c r="E150" i="67"/>
  <c r="E135" i="67"/>
  <c r="E129" i="67"/>
  <c r="E128" i="67"/>
  <c r="E263" i="67"/>
  <c r="E262" i="67"/>
  <c r="E261" i="67"/>
  <c r="E260" i="67"/>
  <c r="E241" i="67" l="1"/>
  <c r="E145" i="67"/>
  <c r="E227" i="67"/>
  <c r="E130" i="67"/>
  <c r="E252" i="67"/>
  <c r="E243" i="67"/>
  <c r="E242" i="67"/>
  <c r="E229" i="67"/>
  <c r="E151" i="67"/>
  <c r="E133" i="67"/>
  <c r="E136" i="67"/>
  <c r="E149" i="67"/>
  <c r="E148" i="67"/>
  <c r="E143" i="67"/>
  <c r="E253" i="67" l="1"/>
  <c r="E134" i="67"/>
  <c r="E228" i="67"/>
  <c r="E153" i="67"/>
  <c r="E152" i="67"/>
  <c r="E138" i="67"/>
  <c r="E137" i="67"/>
  <c r="E22" i="55"/>
  <c r="E16" i="55"/>
  <c r="E14" i="55"/>
  <c r="E21" i="55" s="1"/>
  <c r="E25" i="55" s="1"/>
  <c r="E15" i="34"/>
  <c r="E14" i="34" s="1"/>
  <c r="L19" i="10"/>
  <c r="M19" i="10"/>
  <c r="N19" i="10"/>
  <c r="O19" i="10"/>
  <c r="P19" i="10"/>
  <c r="E15" i="55" l="1"/>
  <c r="E17" i="55"/>
  <c r="E24" i="55" s="1"/>
  <c r="E20" i="55"/>
  <c r="E19" i="55"/>
  <c r="E125" i="67" l="1"/>
  <c r="E114" i="67"/>
  <c r="E113" i="67"/>
  <c r="E99" i="67"/>
  <c r="E98" i="67"/>
  <c r="E110" i="67"/>
  <c r="E95" i="67"/>
  <c r="E84" i="67"/>
  <c r="E83" i="67"/>
  <c r="E80" i="67"/>
  <c r="E69" i="67"/>
  <c r="E68" i="67"/>
  <c r="E65" i="67"/>
  <c r="E54" i="67"/>
  <c r="E53" i="67"/>
  <c r="E50" i="67"/>
  <c r="E39" i="67"/>
  <c r="E38" i="67"/>
  <c r="E35" i="67"/>
  <c r="E23" i="67"/>
  <c r="E24" i="67"/>
  <c r="E55" i="67" l="1"/>
  <c r="E70" i="67"/>
  <c r="E115" i="67"/>
  <c r="E85" i="67"/>
  <c r="E25" i="67"/>
  <c r="A25" i="67" s="1"/>
  <c r="A24" i="67"/>
  <c r="A23" i="67"/>
  <c r="E100" i="67"/>
  <c r="E40" i="67"/>
  <c r="O14" i="67"/>
  <c r="N14" i="67"/>
  <c r="M14" i="67"/>
  <c r="L14" i="67"/>
  <c r="K14" i="67"/>
  <c r="A15" i="67"/>
  <c r="A283" i="67" l="1"/>
  <c r="A289" i="67"/>
  <c r="A293" i="67"/>
  <c r="A290" i="67"/>
  <c r="A285" i="67"/>
  <c r="A288" i="67"/>
  <c r="A284" i="67"/>
  <c r="A233" i="67"/>
  <c r="A291" i="67"/>
  <c r="A292" i="67"/>
  <c r="A286" i="67"/>
  <c r="A287" i="67"/>
  <c r="A256" i="67"/>
  <c r="A257" i="67"/>
  <c r="A246" i="67"/>
  <c r="A247" i="67"/>
  <c r="A232" i="67"/>
  <c r="A219" i="67"/>
  <c r="A218" i="67"/>
  <c r="A195" i="67"/>
  <c r="A26" i="67"/>
  <c r="A40" i="67"/>
  <c r="A115" i="67"/>
  <c r="A187" i="67"/>
  <c r="A186" i="67"/>
  <c r="A295" i="67"/>
  <c r="A83" i="67"/>
  <c r="A51" i="67"/>
  <c r="A171" i="67"/>
  <c r="A250" i="67"/>
  <c r="A102" i="67"/>
  <c r="A38" i="67"/>
  <c r="A72" i="67"/>
  <c r="A193" i="67"/>
  <c r="A149" i="67"/>
  <c r="A243" i="67"/>
  <c r="A158" i="67"/>
  <c r="A98" i="67"/>
  <c r="A176" i="67"/>
  <c r="A39" i="67"/>
  <c r="A265" i="67"/>
  <c r="A156" i="67"/>
  <c r="A80" i="67"/>
  <c r="A141" i="67"/>
  <c r="A242" i="67"/>
  <c r="A151" i="67"/>
  <c r="A53" i="67"/>
  <c r="A60" i="67"/>
  <c r="A153" i="67"/>
  <c r="A244" i="67"/>
  <c r="A271" i="67"/>
  <c r="A228" i="67"/>
  <c r="A221" i="67"/>
  <c r="A95" i="67"/>
  <c r="A209" i="67"/>
  <c r="A124" i="67"/>
  <c r="A35" i="67"/>
  <c r="A71" i="67"/>
  <c r="A81" i="67"/>
  <c r="A184" i="67"/>
  <c r="A174" i="67"/>
  <c r="A211" i="67"/>
  <c r="A207" i="67"/>
  <c r="A152" i="67"/>
  <c r="A49" i="67"/>
  <c r="A33" i="67"/>
  <c r="A225" i="67"/>
  <c r="A42" i="67"/>
  <c r="A34" i="67"/>
  <c r="A177" i="67"/>
  <c r="A241" i="67"/>
  <c r="A78" i="67"/>
  <c r="A272" i="67"/>
  <c r="A279" i="67"/>
  <c r="A154" i="67"/>
  <c r="A300" i="67"/>
  <c r="A145" i="67"/>
  <c r="A101" i="67"/>
  <c r="A27" i="67"/>
  <c r="A108" i="67"/>
  <c r="A41" i="67"/>
  <c r="A165" i="67"/>
  <c r="A263" i="67"/>
  <c r="A240" i="67"/>
  <c r="A138" i="67"/>
  <c r="A36" i="67"/>
  <c r="A128" i="67"/>
  <c r="A56" i="67"/>
  <c r="A129" i="67"/>
  <c r="A46" i="67"/>
  <c r="A236" i="67"/>
  <c r="A133" i="67"/>
  <c r="A262" i="67"/>
  <c r="A160" i="67"/>
  <c r="A31" i="67"/>
  <c r="A57" i="67"/>
  <c r="A44" i="67"/>
  <c r="A73" i="67"/>
  <c r="A111" i="67"/>
  <c r="A88" i="67"/>
  <c r="A94" i="67"/>
  <c r="A183" i="67"/>
  <c r="A114" i="67"/>
  <c r="A58" i="67"/>
  <c r="A116" i="67"/>
  <c r="A75" i="67"/>
  <c r="A28" i="67"/>
  <c r="A89" i="67"/>
  <c r="A137" i="67"/>
  <c r="A91" i="67"/>
  <c r="A229" i="67"/>
  <c r="A190" i="67"/>
  <c r="A107" i="67"/>
  <c r="A163" i="67"/>
  <c r="A30" i="67"/>
  <c r="A169" i="67"/>
  <c r="A74" i="67"/>
  <c r="A205" i="67"/>
  <c r="A147" i="67"/>
  <c r="A180" i="67"/>
  <c r="A172" i="67"/>
  <c r="A173" i="67"/>
  <c r="A175" i="67"/>
  <c r="A298" i="67"/>
  <c r="A64" i="67"/>
  <c r="A79" i="67"/>
  <c r="A188" i="67"/>
  <c r="A134" i="67"/>
  <c r="A222" i="67"/>
  <c r="A198" i="67"/>
  <c r="A148" i="67"/>
  <c r="A185" i="67"/>
  <c r="A29" i="67"/>
  <c r="A48" i="67"/>
  <c r="A43" i="67"/>
  <c r="A106" i="67"/>
  <c r="A204" i="67"/>
  <c r="A254" i="67"/>
  <c r="A220" i="67"/>
  <c r="A117" i="67"/>
  <c r="A278" i="67"/>
  <c r="A182" i="67"/>
  <c r="A178" i="67"/>
  <c r="A208" i="67"/>
  <c r="A234" i="67"/>
  <c r="A212" i="67"/>
  <c r="A206" i="67"/>
  <c r="A65" i="67"/>
  <c r="A159" i="67"/>
  <c r="A235" i="67"/>
  <c r="A199" i="67"/>
  <c r="A131" i="67"/>
  <c r="A296" i="67"/>
  <c r="A164" i="67"/>
  <c r="A62" i="67"/>
  <c r="A93" i="67"/>
  <c r="A104" i="67"/>
  <c r="A168" i="67"/>
  <c r="A251" i="67"/>
  <c r="A297" i="67"/>
  <c r="A216" i="67"/>
  <c r="A214" i="67"/>
  <c r="A118" i="67"/>
  <c r="A230" i="67"/>
  <c r="A162" i="67"/>
  <c r="A77" i="67"/>
  <c r="A68" i="67"/>
  <c r="A143" i="67"/>
  <c r="A189" i="67"/>
  <c r="A245" i="67"/>
  <c r="A63" i="67"/>
  <c r="A268" i="67"/>
  <c r="A59" i="67"/>
  <c r="A270" i="67"/>
  <c r="A215" i="67"/>
  <c r="A123" i="67"/>
  <c r="A203" i="67"/>
  <c r="A69" i="67"/>
  <c r="A226" i="67"/>
  <c r="A150" i="67"/>
  <c r="A136" i="67"/>
  <c r="A191" i="67"/>
  <c r="A45" i="67"/>
  <c r="A122" i="67"/>
  <c r="A140" i="67"/>
  <c r="A170" i="67"/>
  <c r="A86" i="67"/>
  <c r="A200" i="67"/>
  <c r="A61" i="67"/>
  <c r="A70" i="67"/>
  <c r="A194" i="67"/>
  <c r="A227" i="67"/>
  <c r="A125" i="67"/>
  <c r="A252" i="67"/>
  <c r="A113" i="67"/>
  <c r="A132" i="67"/>
  <c r="A135" i="67"/>
  <c r="A239" i="67"/>
  <c r="A273" i="67"/>
  <c r="A66" i="67"/>
  <c r="A281" i="67"/>
  <c r="A121" i="67"/>
  <c r="A47" i="67"/>
  <c r="A223" i="67"/>
  <c r="A103" i="67"/>
  <c r="A110" i="67"/>
  <c r="A54" i="67"/>
  <c r="A119" i="67"/>
  <c r="A266" i="67"/>
  <c r="A192" i="67"/>
  <c r="A237" i="67"/>
  <c r="A261" i="67"/>
  <c r="A99" i="67"/>
  <c r="A130" i="67"/>
  <c r="A248" i="67"/>
  <c r="A258" i="67"/>
  <c r="A109" i="67"/>
  <c r="A197" i="67"/>
  <c r="A213" i="67"/>
  <c r="A126" i="67"/>
  <c r="A92" i="67"/>
  <c r="A90" i="67"/>
  <c r="A105" i="67"/>
  <c r="A179" i="67"/>
  <c r="A87" i="67"/>
  <c r="A84" i="67"/>
  <c r="A55" i="67"/>
  <c r="A139" i="67"/>
  <c r="A155" i="67"/>
  <c r="A144" i="67"/>
  <c r="A277" i="67"/>
  <c r="A231" i="67"/>
  <c r="A100" i="67"/>
  <c r="A253" i="67"/>
  <c r="A260" i="67"/>
  <c r="A255" i="67"/>
  <c r="A96" i="67"/>
  <c r="A202" i="67"/>
  <c r="A274" i="67"/>
  <c r="A120" i="67"/>
  <c r="A76" i="67"/>
  <c r="A146" i="67"/>
  <c r="A217" i="67"/>
  <c r="A201" i="67"/>
  <c r="A32" i="67"/>
  <c r="A85" i="67"/>
  <c r="A50" i="67"/>
  <c r="P14" i="67"/>
  <c r="C13" i="67" l="1"/>
  <c r="O15" i="10" l="1"/>
  <c r="N15" i="10"/>
  <c r="M15" i="10"/>
  <c r="P15" i="10" s="1"/>
  <c r="K15" i="10"/>
  <c r="G15" i="10"/>
  <c r="F15" i="10" s="1"/>
  <c r="L15" i="10" s="1"/>
  <c r="O14" i="10"/>
  <c r="N14" i="10"/>
  <c r="M14" i="10"/>
  <c r="P14" i="10" s="1"/>
  <c r="K14" i="10"/>
  <c r="G14" i="10"/>
  <c r="F14" i="10" s="1"/>
  <c r="L14" i="10" s="1"/>
  <c r="M311" i="67"/>
  <c r="C311" i="67"/>
  <c r="M310" i="67"/>
  <c r="C310" i="67"/>
  <c r="L309" i="67"/>
  <c r="A305" i="67"/>
  <c r="B304" i="67"/>
  <c r="O13" i="67"/>
  <c r="N13" i="67"/>
  <c r="M13" i="67"/>
  <c r="L13" i="67"/>
  <c r="K13" i="67"/>
  <c r="A2" i="67"/>
  <c r="L9" i="67"/>
  <c r="A7" i="67"/>
  <c r="D6" i="67"/>
  <c r="C6" i="67"/>
  <c r="D5" i="67"/>
  <c r="D4" i="67"/>
  <c r="D3" i="67"/>
  <c r="H1" i="67"/>
  <c r="C9" i="65"/>
  <c r="C9" i="22"/>
  <c r="C8" i="22"/>
  <c r="P13" i="67" l="1"/>
  <c r="M302" i="67"/>
  <c r="O302" i="67"/>
  <c r="L302" i="67"/>
  <c r="N302" i="67"/>
  <c r="P302" i="67" l="1"/>
  <c r="P7" i="67" s="1"/>
  <c r="M13" i="9"/>
  <c r="N13" i="9"/>
  <c r="O13" i="9"/>
  <c r="M19" i="9"/>
  <c r="N19" i="9"/>
  <c r="O19" i="9"/>
  <c r="M14" i="9"/>
  <c r="N14" i="9"/>
  <c r="O14" i="9"/>
  <c r="M15" i="9"/>
  <c r="N15" i="9"/>
  <c r="O15" i="9"/>
  <c r="M16" i="9"/>
  <c r="N16" i="9"/>
  <c r="O16" i="9"/>
  <c r="P16" i="9" s="1"/>
  <c r="M17" i="9"/>
  <c r="N17" i="9"/>
  <c r="O17" i="9"/>
  <c r="M18" i="9"/>
  <c r="N18" i="9"/>
  <c r="O18" i="9"/>
  <c r="M20" i="9"/>
  <c r="N20" i="9"/>
  <c r="O20" i="9"/>
  <c r="M21" i="9"/>
  <c r="N21" i="9"/>
  <c r="O21" i="9"/>
  <c r="M22" i="9"/>
  <c r="N22" i="9"/>
  <c r="O22" i="9"/>
  <c r="M23" i="9"/>
  <c r="N23" i="9"/>
  <c r="O23" i="9"/>
  <c r="M24" i="9"/>
  <c r="N24" i="9"/>
  <c r="O24" i="9"/>
  <c r="M13" i="10"/>
  <c r="N13" i="10"/>
  <c r="O13" i="10"/>
  <c r="M16" i="10"/>
  <c r="M20" i="10" s="1"/>
  <c r="F22" i="22" s="1"/>
  <c r="N16" i="10"/>
  <c r="N20" i="10" s="1"/>
  <c r="G22" i="22" s="1"/>
  <c r="O16" i="10"/>
  <c r="O20" i="10" s="1"/>
  <c r="H22" i="22" s="1"/>
  <c r="M17" i="10"/>
  <c r="N17" i="10"/>
  <c r="O17" i="10"/>
  <c r="M18" i="10"/>
  <c r="N18" i="10"/>
  <c r="O18" i="10"/>
  <c r="M13" i="34"/>
  <c r="N13" i="34"/>
  <c r="O13" i="34"/>
  <c r="M14" i="34"/>
  <c r="N14" i="34"/>
  <c r="O14" i="34"/>
  <c r="M15" i="34"/>
  <c r="N15" i="34"/>
  <c r="O15" i="34"/>
  <c r="M16" i="34"/>
  <c r="M22" i="34" s="1"/>
  <c r="F21" i="33" s="1"/>
  <c r="N16" i="34"/>
  <c r="O16" i="34"/>
  <c r="M17" i="34"/>
  <c r="N17" i="34"/>
  <c r="O17" i="34"/>
  <c r="M18" i="34"/>
  <c r="N18" i="34"/>
  <c r="O18" i="34"/>
  <c r="M19" i="34"/>
  <c r="N19" i="34"/>
  <c r="O19" i="34"/>
  <c r="M20" i="34"/>
  <c r="N20" i="34"/>
  <c r="O20" i="34"/>
  <c r="D27" i="33"/>
  <c r="D25" i="33"/>
  <c r="M13" i="55"/>
  <c r="N13" i="55"/>
  <c r="O13" i="55"/>
  <c r="M14" i="55"/>
  <c r="N14" i="55"/>
  <c r="O14" i="55"/>
  <c r="M15" i="55"/>
  <c r="N15" i="55"/>
  <c r="O15" i="55"/>
  <c r="M16" i="55"/>
  <c r="N16" i="55"/>
  <c r="O16" i="55"/>
  <c r="M17" i="55"/>
  <c r="N17" i="55"/>
  <c r="O17" i="55"/>
  <c r="M18" i="55"/>
  <c r="N18" i="55"/>
  <c r="O18" i="55"/>
  <c r="M19" i="55"/>
  <c r="N19" i="55"/>
  <c r="O19" i="55"/>
  <c r="M20" i="55"/>
  <c r="N20" i="55"/>
  <c r="O20" i="55"/>
  <c r="M21" i="55"/>
  <c r="N21" i="55"/>
  <c r="O21" i="55"/>
  <c r="M22" i="55"/>
  <c r="N22" i="55"/>
  <c r="O22" i="55"/>
  <c r="M23" i="55"/>
  <c r="N23" i="55"/>
  <c r="O23" i="55"/>
  <c r="M24" i="55"/>
  <c r="N24" i="55"/>
  <c r="O24" i="55"/>
  <c r="M25" i="55"/>
  <c r="N25" i="55"/>
  <c r="O25" i="55"/>
  <c r="M26" i="55"/>
  <c r="N26" i="55"/>
  <c r="O26" i="55"/>
  <c r="D26" i="54"/>
  <c r="D24" i="54"/>
  <c r="M13" i="66"/>
  <c r="N13" i="66"/>
  <c r="O13" i="66"/>
  <c r="M19" i="66"/>
  <c r="N19" i="66"/>
  <c r="O19" i="66"/>
  <c r="M21" i="66"/>
  <c r="N21" i="66"/>
  <c r="O21" i="66"/>
  <c r="D26" i="65"/>
  <c r="D24" i="65"/>
  <c r="L13" i="9"/>
  <c r="G19" i="9"/>
  <c r="F19" i="9" s="1"/>
  <c r="L19" i="9" s="1"/>
  <c r="G14" i="9"/>
  <c r="F14" i="9" s="1"/>
  <c r="L14" i="9" s="1"/>
  <c r="G15" i="9"/>
  <c r="F15" i="9" s="1"/>
  <c r="L15" i="9" s="1"/>
  <c r="G16" i="9"/>
  <c r="F16" i="9" s="1"/>
  <c r="L16" i="9" s="1"/>
  <c r="G17" i="9"/>
  <c r="G18" i="9"/>
  <c r="F18" i="9" s="1"/>
  <c r="L18" i="9" s="1"/>
  <c r="G20" i="9"/>
  <c r="F20" i="9" s="1"/>
  <c r="L20" i="9" s="1"/>
  <c r="G21" i="9"/>
  <c r="F21" i="9" s="1"/>
  <c r="L21" i="9" s="1"/>
  <c r="G22" i="9"/>
  <c r="F22" i="9" s="1"/>
  <c r="L22" i="9" s="1"/>
  <c r="G23" i="9"/>
  <c r="F23" i="9" s="1"/>
  <c r="L23" i="9" s="1"/>
  <c r="G24" i="9"/>
  <c r="F24" i="9" s="1"/>
  <c r="L24" i="9" s="1"/>
  <c r="L13" i="10"/>
  <c r="L16" i="10"/>
  <c r="L17" i="10"/>
  <c r="L18" i="10"/>
  <c r="F22" i="33"/>
  <c r="L13" i="66"/>
  <c r="L19" i="66"/>
  <c r="L21" i="66"/>
  <c r="L13" i="55"/>
  <c r="L14" i="55"/>
  <c r="L15" i="55"/>
  <c r="L16" i="55"/>
  <c r="L17" i="55"/>
  <c r="L18" i="55"/>
  <c r="L19" i="55"/>
  <c r="L20" i="55"/>
  <c r="L21" i="55"/>
  <c r="L22" i="55"/>
  <c r="L23" i="55"/>
  <c r="L24" i="55"/>
  <c r="L25" i="55"/>
  <c r="L26" i="55"/>
  <c r="L13" i="34"/>
  <c r="L14" i="34"/>
  <c r="L15" i="34"/>
  <c r="L16" i="34"/>
  <c r="L17" i="34"/>
  <c r="L18" i="34"/>
  <c r="L19" i="34"/>
  <c r="L20" i="34"/>
  <c r="H22" i="33"/>
  <c r="G22" i="33"/>
  <c r="M29" i="10"/>
  <c r="C29" i="10"/>
  <c r="M28" i="10"/>
  <c r="C28" i="10"/>
  <c r="L27" i="10"/>
  <c r="M36" i="9"/>
  <c r="C36" i="9"/>
  <c r="M35" i="9"/>
  <c r="C35" i="9"/>
  <c r="L34" i="9"/>
  <c r="M55" i="35"/>
  <c r="C55" i="35"/>
  <c r="M54" i="35"/>
  <c r="C54" i="35"/>
  <c r="L53" i="35"/>
  <c r="A49" i="35"/>
  <c r="K20" i="34"/>
  <c r="K19" i="34"/>
  <c r="K18" i="34"/>
  <c r="K17" i="34"/>
  <c r="K16" i="34"/>
  <c r="K15" i="34"/>
  <c r="K14" i="34"/>
  <c r="K19" i="9"/>
  <c r="K14" i="9"/>
  <c r="K15" i="9"/>
  <c r="K16" i="9"/>
  <c r="K17" i="9"/>
  <c r="K18" i="9"/>
  <c r="K20" i="9"/>
  <c r="K21" i="9"/>
  <c r="K22" i="9"/>
  <c r="K23" i="9"/>
  <c r="K24" i="9"/>
  <c r="K18" i="10"/>
  <c r="K17" i="10"/>
  <c r="K16" i="10"/>
  <c r="A30" i="66"/>
  <c r="A32" i="55"/>
  <c r="A23" i="10"/>
  <c r="B22" i="10"/>
  <c r="A29" i="66"/>
  <c r="A25" i="34"/>
  <c r="A31" i="55" s="1"/>
  <c r="A6" i="54"/>
  <c r="A6" i="33"/>
  <c r="A6" i="65"/>
  <c r="M35" i="66"/>
  <c r="C35" i="66"/>
  <c r="M34" i="66"/>
  <c r="C34" i="66"/>
  <c r="L33" i="66"/>
  <c r="K21" i="66"/>
  <c r="K19" i="66"/>
  <c r="K13" i="66"/>
  <c r="C13" i="66"/>
  <c r="A2" i="66" s="1"/>
  <c r="L9" i="66"/>
  <c r="A7" i="66"/>
  <c r="D6" i="66"/>
  <c r="C6" i="66"/>
  <c r="D5" i="66"/>
  <c r="D4" i="66"/>
  <c r="D3" i="66"/>
  <c r="H1" i="66"/>
  <c r="C38" i="65"/>
  <c r="C37" i="65"/>
  <c r="B36" i="65"/>
  <c r="C32" i="65"/>
  <c r="C31" i="65"/>
  <c r="H16" i="65"/>
  <c r="C11" i="65"/>
  <c r="A11" i="65"/>
  <c r="C10" i="65"/>
  <c r="C8" i="65"/>
  <c r="M36" i="55"/>
  <c r="M37" i="55"/>
  <c r="C37" i="55"/>
  <c r="C36" i="55"/>
  <c r="L35" i="55"/>
  <c r="K26" i="55"/>
  <c r="K25" i="55"/>
  <c r="K24" i="55"/>
  <c r="K23" i="55"/>
  <c r="K22" i="55"/>
  <c r="K21" i="55"/>
  <c r="K20" i="55"/>
  <c r="K19" i="55"/>
  <c r="K18" i="55"/>
  <c r="K17" i="55"/>
  <c r="K16" i="55"/>
  <c r="K15" i="55"/>
  <c r="K14" i="55"/>
  <c r="K13" i="55"/>
  <c r="C13" i="55"/>
  <c r="A2" i="55" s="1"/>
  <c r="L9" i="55"/>
  <c r="A7" i="55"/>
  <c r="D6" i="55"/>
  <c r="C6" i="55"/>
  <c r="D5" i="55"/>
  <c r="D4" i="55"/>
  <c r="D3" i="55"/>
  <c r="H1" i="55"/>
  <c r="C38" i="54"/>
  <c r="C37" i="54"/>
  <c r="B36" i="54"/>
  <c r="C32" i="54"/>
  <c r="C31" i="54"/>
  <c r="H16" i="54"/>
  <c r="C11" i="54"/>
  <c r="A11" i="54"/>
  <c r="C10" i="54"/>
  <c r="C9" i="54"/>
  <c r="C8" i="54"/>
  <c r="M31" i="34"/>
  <c r="L29" i="34"/>
  <c r="A2" i="35"/>
  <c r="L9" i="35"/>
  <c r="A7" i="35"/>
  <c r="D6" i="35"/>
  <c r="C6" i="35"/>
  <c r="D5" i="35"/>
  <c r="D4" i="35"/>
  <c r="D3" i="35"/>
  <c r="H1" i="35"/>
  <c r="C31" i="34"/>
  <c r="M30" i="34"/>
  <c r="C30" i="34"/>
  <c r="K13" i="34"/>
  <c r="C13" i="34"/>
  <c r="A2" i="34" s="1"/>
  <c r="L9" i="34"/>
  <c r="A7" i="34"/>
  <c r="D6" i="34"/>
  <c r="C6" i="34"/>
  <c r="D5" i="34"/>
  <c r="D4" i="34"/>
  <c r="D3" i="34"/>
  <c r="H1" i="34"/>
  <c r="C39" i="33"/>
  <c r="C38" i="33"/>
  <c r="B37" i="33"/>
  <c r="C33" i="33"/>
  <c r="C32" i="33"/>
  <c r="H16" i="33"/>
  <c r="C11" i="33"/>
  <c r="A11" i="33"/>
  <c r="C10" i="33"/>
  <c r="C9" i="33"/>
  <c r="C8" i="33"/>
  <c r="C34" i="22"/>
  <c r="C33" i="22"/>
  <c r="A6" i="22"/>
  <c r="B38" i="22"/>
  <c r="C39" i="22"/>
  <c r="C40" i="22"/>
  <c r="H1" i="10"/>
  <c r="H1" i="9"/>
  <c r="C13" i="10"/>
  <c r="A2" i="10" s="1"/>
  <c r="C13" i="9"/>
  <c r="A2" i="9" s="1"/>
  <c r="C11" i="22"/>
  <c r="D6" i="10"/>
  <c r="D6" i="9"/>
  <c r="C6" i="10"/>
  <c r="C6" i="9"/>
  <c r="A11" i="22"/>
  <c r="K13" i="10"/>
  <c r="K13" i="9"/>
  <c r="A7" i="10"/>
  <c r="D4" i="9"/>
  <c r="D4" i="10"/>
  <c r="D3" i="9"/>
  <c r="D3" i="10"/>
  <c r="D5" i="10"/>
  <c r="C10" i="22"/>
  <c r="A7" i="9"/>
  <c r="L9" i="9"/>
  <c r="L9" i="10"/>
  <c r="H16" i="22"/>
  <c r="D5" i="9"/>
  <c r="O22" i="34" l="1"/>
  <c r="H21" i="33" s="1"/>
  <c r="H24" i="33" s="1"/>
  <c r="N22" i="34"/>
  <c r="G21" i="33" s="1"/>
  <c r="G24" i="33" s="1"/>
  <c r="F17" i="9"/>
  <c r="L17" i="9" s="1"/>
  <c r="L27" i="9" s="1"/>
  <c r="I21" i="22" s="1"/>
  <c r="P13" i="9"/>
  <c r="O27" i="9"/>
  <c r="P17" i="55"/>
  <c r="P25" i="55"/>
  <c r="P14" i="55"/>
  <c r="P13" i="55"/>
  <c r="P18" i="55"/>
  <c r="O28" i="55"/>
  <c r="H21" i="54" s="1"/>
  <c r="H23" i="54" s="1"/>
  <c r="N28" i="55"/>
  <c r="G21" i="54" s="1"/>
  <c r="G23" i="54" s="1"/>
  <c r="P14" i="34"/>
  <c r="P13" i="34"/>
  <c r="P18" i="34"/>
  <c r="P17" i="34"/>
  <c r="O26" i="66"/>
  <c r="H21" i="65" s="1"/>
  <c r="H23" i="65" s="1"/>
  <c r="N26" i="66"/>
  <c r="G21" i="65" s="1"/>
  <c r="G23" i="65" s="1"/>
  <c r="P21" i="66"/>
  <c r="M26" i="66"/>
  <c r="F21" i="65" s="1"/>
  <c r="F23" i="65" s="1"/>
  <c r="P24" i="9"/>
  <c r="H21" i="22"/>
  <c r="H25" i="22" s="1"/>
  <c r="M27" i="9"/>
  <c r="F21" i="22" s="1"/>
  <c r="F25" i="22" s="1"/>
  <c r="P14" i="9"/>
  <c r="P22" i="55"/>
  <c r="M28" i="55"/>
  <c r="F21" i="54" s="1"/>
  <c r="F23" i="54" s="1"/>
  <c r="P21" i="55"/>
  <c r="P26" i="55"/>
  <c r="F24" i="33"/>
  <c r="P21" i="9"/>
  <c r="P20" i="9"/>
  <c r="P19" i="9"/>
  <c r="P15" i="9"/>
  <c r="P18" i="9"/>
  <c r="P22" i="9"/>
  <c r="N27" i="9"/>
  <c r="G21" i="22" s="1"/>
  <c r="G25" i="22" s="1"/>
  <c r="P17" i="9"/>
  <c r="P23" i="9"/>
  <c r="P24" i="55"/>
  <c r="P20" i="55"/>
  <c r="P16" i="55"/>
  <c r="P23" i="55"/>
  <c r="P19" i="55"/>
  <c r="P15" i="55"/>
  <c r="P19" i="34"/>
  <c r="P15" i="34"/>
  <c r="P20" i="34"/>
  <c r="P16" i="34"/>
  <c r="P16" i="10"/>
  <c r="P17" i="10"/>
  <c r="P13" i="10"/>
  <c r="P18" i="10"/>
  <c r="L22" i="34"/>
  <c r="I21" i="33" s="1"/>
  <c r="I22" i="33"/>
  <c r="L28" i="55"/>
  <c r="I21" i="54" s="1"/>
  <c r="L26" i="66"/>
  <c r="I21" i="65" s="1"/>
  <c r="I23" i="65" s="1"/>
  <c r="H14" i="65" s="1"/>
  <c r="L20" i="10"/>
  <c r="I22" i="22" s="1"/>
  <c r="P19" i="66"/>
  <c r="P13" i="66"/>
  <c r="P22" i="34" l="1"/>
  <c r="P28" i="55"/>
  <c r="E21" i="54" s="1"/>
  <c r="P27" i="9"/>
  <c r="P7" i="9" s="1"/>
  <c r="I23" i="54"/>
  <c r="H14" i="54" s="1"/>
  <c r="I24" i="33"/>
  <c r="H14" i="33" s="1"/>
  <c r="I25" i="22"/>
  <c r="H14" i="22" s="1"/>
  <c r="P20" i="10"/>
  <c r="E22" i="22" s="1"/>
  <c r="E21" i="33"/>
  <c r="P7" i="34"/>
  <c r="E22" i="33"/>
  <c r="P7" i="35"/>
  <c r="P26" i="66"/>
  <c r="P7" i="55" l="1"/>
  <c r="E21" i="22"/>
  <c r="E24" i="33"/>
  <c r="P7" i="10"/>
  <c r="H15" i="22"/>
  <c r="E23" i="54"/>
  <c r="E21" i="65"/>
  <c r="E23" i="65" s="1"/>
  <c r="P7" i="66"/>
  <c r="E25" i="22" l="1"/>
  <c r="E28" i="22" s="1"/>
  <c r="E26" i="54"/>
  <c r="E24" i="54"/>
  <c r="E25" i="54" s="1"/>
  <c r="E25" i="33"/>
  <c r="E26" i="33" s="1"/>
  <c r="E27" i="33"/>
  <c r="E24" i="65"/>
  <c r="E25" i="65" s="1"/>
  <c r="E26" i="65"/>
  <c r="E26" i="22" l="1"/>
  <c r="E27" i="22" s="1"/>
  <c r="E27" i="65"/>
  <c r="H13" i="65" s="1"/>
  <c r="E27" i="54"/>
  <c r="E28" i="33"/>
  <c r="D24" i="2" l="1"/>
  <c r="E29" i="22"/>
  <c r="D22" i="2"/>
  <c r="H13" i="33"/>
  <c r="D23" i="2"/>
  <c r="H13" i="54"/>
  <c r="H13" i="22" l="1"/>
  <c r="D21" i="2"/>
  <c r="D25" i="2"/>
  <c r="D28" i="2" s="1"/>
</calcChain>
</file>

<file path=xl/sharedStrings.xml><?xml version="1.0" encoding="utf-8"?>
<sst xmlns="http://schemas.openxmlformats.org/spreadsheetml/2006/main" count="1092" uniqueCount="302">
  <si>
    <t xml:space="preserve">APSTIPRINU </t>
  </si>
  <si>
    <t>________________________________________</t>
  </si>
  <si>
    <t>(pasūtītāja paraksts un tā atšifrējums)</t>
  </si>
  <si>
    <t>Z.v.</t>
  </si>
  <si>
    <t>______.gada ____.____________</t>
  </si>
  <si>
    <t>Būvniecības koptāme</t>
  </si>
  <si>
    <t>Objekta nosaukums</t>
  </si>
  <si>
    <t xml:space="preserve"> Kopā( bez PVN)</t>
  </si>
  <si>
    <t>Sastādīja:</t>
  </si>
  <si>
    <t xml:space="preserve">Būves nosaukums: </t>
  </si>
  <si>
    <t xml:space="preserve">Objekta adrese: </t>
  </si>
  <si>
    <t>Būves nosaukums:</t>
  </si>
  <si>
    <t>Objekta nosaukums:</t>
  </si>
  <si>
    <t>Objekta adrese:</t>
  </si>
  <si>
    <t>Kopējā darbietilpība, c/h</t>
  </si>
  <si>
    <t>Nr.p.k.</t>
  </si>
  <si>
    <t>Kods, tāmes Nr.</t>
  </si>
  <si>
    <t>Tai skaitā</t>
  </si>
  <si>
    <t>Darbietilpība (c/h)</t>
  </si>
  <si>
    <t>Kopā</t>
  </si>
  <si>
    <t>Kopā bez PVN</t>
  </si>
  <si>
    <t>Kods</t>
  </si>
  <si>
    <t>Mērvienība</t>
  </si>
  <si>
    <t>Daudzums</t>
  </si>
  <si>
    <t>Vienības izmaksas</t>
  </si>
  <si>
    <t>Kopā uz visu apjomu</t>
  </si>
  <si>
    <t>Laika norma (c/h)</t>
  </si>
  <si>
    <t xml:space="preserve">Objekta nosaukums: </t>
  </si>
  <si>
    <t>Peļņa</t>
  </si>
  <si>
    <t>m2</t>
  </si>
  <si>
    <t>Pasūtījuma Nr.</t>
  </si>
  <si>
    <t>Vispārējie būvdarbi</t>
  </si>
  <si>
    <t>1,1</t>
  </si>
  <si>
    <t>1,3</t>
  </si>
  <si>
    <t>Virsizdevumi</t>
  </si>
  <si>
    <t>Pārbaudīja:</t>
  </si>
  <si>
    <t>Kopsav.tāmes Nr</t>
  </si>
  <si>
    <t>Teritorijas labiekārtošana</t>
  </si>
  <si>
    <t>PVN 21 %</t>
  </si>
  <si>
    <t>1,2</t>
  </si>
  <si>
    <t>tai skaitā darba aizsardzība</t>
  </si>
  <si>
    <t>Piezīmes:</t>
  </si>
  <si>
    <t>Specializētie darbi-iekšējie tīkli, sistēmas</t>
  </si>
  <si>
    <t>Specializētie darbi-ārējie tīkli, sistēmas</t>
  </si>
  <si>
    <t>Darba samaksas likme (euro/h)</t>
  </si>
  <si>
    <t>Darba alga (euro)</t>
  </si>
  <si>
    <t>Mehānismi (euro)</t>
  </si>
  <si>
    <t>Kopā (euro)</t>
  </si>
  <si>
    <t>Summa (euro)</t>
  </si>
  <si>
    <t>Par kopējo summu, euro</t>
  </si>
  <si>
    <t>Tāmes izmaksas (euro)</t>
  </si>
  <si>
    <t>darba alga (euro)</t>
  </si>
  <si>
    <t>materiāli (euro)</t>
  </si>
  <si>
    <t>mehānismi (euro)</t>
  </si>
  <si>
    <t>Objekta izmaksas            (euro)</t>
  </si>
  <si>
    <t>4,1</t>
  </si>
  <si>
    <t>3,1</t>
  </si>
  <si>
    <t>2,1</t>
  </si>
  <si>
    <t>2,2</t>
  </si>
  <si>
    <t>Tāmes izmaksas euro:</t>
  </si>
  <si>
    <t>Lokālā tāme Nr.</t>
  </si>
  <si>
    <t>būvizstrādājumi (euro)</t>
  </si>
  <si>
    <t>Būvizstrādājumi (euro)</t>
  </si>
  <si>
    <t>Būvdarbu veids vai konstruktīvā elementa nosaukums</t>
  </si>
  <si>
    <t>Būvdarbu nosaukums</t>
  </si>
  <si>
    <t>Kopsavilkuma aprēķins Nr. 1</t>
  </si>
  <si>
    <t>Kopsavilkuma aprēķins Nr. 2</t>
  </si>
  <si>
    <t>Kopsavilkuma aprēķins Nr. 3</t>
  </si>
  <si>
    <t>Kopsavilkuma aprēķins Nr. 4</t>
  </si>
  <si>
    <t>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t>
  </si>
  <si>
    <t>Tiešās izmaksas kopā t.sk. darba devēja sociālais nodoklis(23,59%)</t>
  </si>
  <si>
    <t>Tiešās izmaksas kopā, t.sk. darba devēja sociālais nodoklis(23,59%)</t>
  </si>
  <si>
    <t>Tāme sastādīta 202_.gada tirgus cenās, pamatojoties uz būvprojekta rasējumiem un darbu apjomiem</t>
  </si>
  <si>
    <t>“Līci”,Sarkaņu pag.,Madonas nov.</t>
  </si>
  <si>
    <t xml:space="preserve"> L-25-10-45</t>
  </si>
  <si>
    <t>m</t>
  </si>
  <si>
    <t>gab</t>
  </si>
  <si>
    <t>Ugunsdzēsības stends</t>
  </si>
  <si>
    <t>kpl</t>
  </si>
  <si>
    <t>Modulis būvdarbu vadītājam, uzstādīšana, demontāža īre- pārvietojams konteinera tipa 1 gab. 6x2,5m</t>
  </si>
  <si>
    <t>Darbinieku moduļa uzstādīšana, demontāža, īre-  pārvietojama konteinera tipa 1 gab. 6x2,5m</t>
  </si>
  <si>
    <t>Materiālu un inventāra moduļa uzstādīšana, īre, demontāža- pārvietojama konteinera tipa 1 gab. 6x2,5m</t>
  </si>
  <si>
    <t>Biotualete-uzstādīšana, īre-1gab. Pārvietojama 1,65x1,65m</t>
  </si>
  <si>
    <t>Būvtāfeles uzstādīšana</t>
  </si>
  <si>
    <t>Elektro pagaidu ņemšanas vietas ierīkošana</t>
  </si>
  <si>
    <t>Maksa par elektroenerģiju</t>
  </si>
  <si>
    <t>Maksa par ūdeni</t>
  </si>
  <si>
    <t>Projekta dokumentācijas komplekts sastāv no projekta rasējumiem un specifikācijas. Būvuzņēmējs dod pilna apjoma tendera cenu piedāvājumu ieskaitot darbus un materiālus, kas nav uzrādīti projektā,bet ir nepieciešami projektēto sistēmu montāžai, palaišanai un nodošanai.</t>
  </si>
  <si>
    <t>Jaunlopu kūts</t>
  </si>
  <si>
    <t>Sagatavošanas darbi, būvlaukuma uzturēšana</t>
  </si>
  <si>
    <t>Jaunlopu kūts būvniecība  AR, BK</t>
  </si>
  <si>
    <t>Iekšējā ūdensapgāde, kanalizācija</t>
  </si>
  <si>
    <t>Iekšējā elektroapgāde</t>
  </si>
  <si>
    <t>Ārējā ūdensapgāde, kanalizācija</t>
  </si>
  <si>
    <t>Esošā šķūņa demontāža,jaunas jaunlopu kūts būvniecība un ceļu un laukumu izbūve īpašumā “Līci”,Sarkaņu pag.,Madonas nov.</t>
  </si>
  <si>
    <t>m3</t>
  </si>
  <si>
    <t>Virskārtas norakšana, to novietojot būvlaukuma malā uzglabāšanai b=40cm</t>
  </si>
  <si>
    <t>Jaunā grāvja izrakšana (nogāžu slīpums 1:1 - 1:1.5)</t>
  </si>
  <si>
    <t xml:space="preserve">m </t>
  </si>
  <si>
    <t>Būvasu nospraušana</t>
  </si>
  <si>
    <t>gb</t>
  </si>
  <si>
    <t>Cokolpaneļi</t>
  </si>
  <si>
    <t>Jumts</t>
  </si>
  <si>
    <t>Vējmalas no skārda</t>
  </si>
  <si>
    <t>Grīdas</t>
  </si>
  <si>
    <t>Būvgružu konteinera uzstādīšana, demontāža un īre 1 gab. 6x2,5m, 15m3</t>
  </si>
  <si>
    <t>Demontāžas darbi</t>
  </si>
  <si>
    <t>Demontēt esošo ūdensvada aku t.sk. Būvgružu izvešana , nodošana pārstrādei</t>
  </si>
  <si>
    <t>Gruntsūdens līmeņa pazemināšana nepieciešamību precizet būvniecības laikā</t>
  </si>
  <si>
    <t>Grunts rakšana ar mehanizēti un ar rokām, iekraujot grunti automašīnā-pašizgāzējā t.sk. Grunts nomaiņai ~500 mm</t>
  </si>
  <si>
    <t>Zemes darbi</t>
  </si>
  <si>
    <t>Pamati</t>
  </si>
  <si>
    <t>V-1</t>
  </si>
  <si>
    <t>Šķembu pamatojuma ierīkošana 200 mm,blīvā veidā ,novibrējot E1 &gt; 60MPa, Emax/E1 &lt; 2.2 (BY 45/BLY7 Betoonilattiat 2002)</t>
  </si>
  <si>
    <t>Armatūras sietu izgatavošana ,uzstādīšana,fiksatoru uzstādīšana . Armatūra B500B</t>
  </si>
  <si>
    <t>t</t>
  </si>
  <si>
    <t>HPM16L Peikko HPM16L montāža</t>
  </si>
  <si>
    <t>V-2</t>
  </si>
  <si>
    <t>V-3</t>
  </si>
  <si>
    <t>HPM20L Peikko HPM20L montāža</t>
  </si>
  <si>
    <t>V-4</t>
  </si>
  <si>
    <t>V-5</t>
  </si>
  <si>
    <t>V-6</t>
  </si>
  <si>
    <t>V-7</t>
  </si>
  <si>
    <t>V-8</t>
  </si>
  <si>
    <t>Vienslāņu cokolpaneļi ar piegādi un montāžu (b=150mm betons)</t>
  </si>
  <si>
    <t>G-01</t>
  </si>
  <si>
    <t>Slīpēta betona virsma ar grīdas cietinātāju</t>
  </si>
  <si>
    <t>G-02</t>
  </si>
  <si>
    <t>G-03</t>
  </si>
  <si>
    <t>Slīpēta betona virsma</t>
  </si>
  <si>
    <t>G-04</t>
  </si>
  <si>
    <t>Kvadrātu veida riezota betona virsma</t>
  </si>
  <si>
    <t>Stiegrojuma sieta montāža 8/8/200/200</t>
  </si>
  <si>
    <t>PE-membrānas ieklāšana</t>
  </si>
  <si>
    <t>Blīvētu šķembu slānis 200 mm ierīkošana</t>
  </si>
  <si>
    <t>Blīvēta smilšu slānis 300 mm ierīkošana</t>
  </si>
  <si>
    <t>Blīvēta pamatnes grunts</t>
  </si>
  <si>
    <t>Stiegrojuma sieta montāža 6/6/200/200</t>
  </si>
  <si>
    <t>Metāla karkasa konstrukcijas</t>
  </si>
  <si>
    <t xml:space="preserve">Tērauda konstrukciju-kolonnas izgatavošana , piegāde,montāža t.sk. Palīgmateriāli. Metāla konstrukcijas apstrādātas atbilstoši BK norādījumiem </t>
  </si>
  <si>
    <t xml:space="preserve">Tērauda konstrukciju-sijas izgatavošana , piegāde,montāža t.sk. Palīgmateriāli. Metāla konstrukcijas apstrādātas atbilstoši BK norādījumiem </t>
  </si>
  <si>
    <t xml:space="preserve">Tērauda konstrukciju-tērauda diagonālās saites izgatavošana , piegāde,montāža t.sk. Palīgmateriāli. Metāla konstrukcijas apstrādātas atbilstoši BK norādījumiem </t>
  </si>
  <si>
    <t xml:space="preserve">Tērauda konstrukciju-montāžas detaļas izgatavošana , piegāde,montāža t.sk. Palīgmateriāli. Metāla konstrukcijas apstrādātas atbilstoši BK norādījumiem </t>
  </si>
  <si>
    <t>Koka karkasa konstrukcijas</t>
  </si>
  <si>
    <t>Nesošo koka konstrukciju  izgatavošana - līmēta koka sijas sagatavotas atbilstoši BK norādījumiem t.sk. Palīgmateriāli. Imprignēti GL28h Apdare – saskaņā ar pasūtītāja prasībām</t>
  </si>
  <si>
    <t>Nesošo koka konstrukciju  izgatavošana - līmēta koka latas sagatavotas atbilstoši BK norādījumiem t.sk. Palīgmateriāli.  Imprignēti GL28h Apdare – saskaņā ar pasūtītāja prasībām</t>
  </si>
  <si>
    <t>Betons C30/37 XC2 140 mm iestrāde t.sk. Palīgmateriāli, deformācijas šuvju ierīkošana</t>
  </si>
  <si>
    <t>Betons C25/30 XC2 80 mm iestrāde t.sk. Palīgmateriāli, deformācijas šuvju ierīkošana</t>
  </si>
  <si>
    <t>Betons C25/30 XC2 100 mm iestrāde t.sk. Palīgmateriāli, deformācijas šuvju ierīkošana</t>
  </si>
  <si>
    <t>GM-2 V Griezums - Kolonnas un spāres mezgls ierīkošana</t>
  </si>
  <si>
    <t>Mezgli</t>
  </si>
  <si>
    <t>Polikarbonāta jumta montāža.t.sk. Palīgmateriāli Marlon CST HeatGuard plāksnes. HG50 24 %
gaismas caurlaidība biezums 6mm, platums 1100
mm, Maks. garums 4200 mm</t>
  </si>
  <si>
    <t>Ventilācijas skursteņu montāža</t>
  </si>
  <si>
    <t>Sienas</t>
  </si>
  <si>
    <t>IS-01</t>
  </si>
  <si>
    <t>Ailu aizpildījuma elementi</t>
  </si>
  <si>
    <t>V-01 3000x3500 mm  Vertikāli sekcijtipa paceļamu vārtu montāža.Metāla sekcijtipa paceļamie vārti bez automātikas Spraugas, pēc vārtu montāžas, aizpildīt ar akmens vati, no telpas iekšpuses ailu pa perimetru nolīmēt ar tvaiku izolējošu lentu t.sk. Palīgmateriāli, apdares elementi ap vārtiem</t>
  </si>
  <si>
    <t>V-02 3600x3500 mm  Vertikāli sekcijtipa paceļamu vārtu montāža.Metāla sekcijtipa paceļamie vārti bez automātikas Spraugas, pēc vārtu montāžas, aizpildīt ar akmens vati, no telpas iekšpuses ailu pa perimetru nolīmēt ar tvaiku izolējošu lentu t.sk. Palīgmateriāli, apdares elementi ap vārtiem</t>
  </si>
  <si>
    <t>Grāvis</t>
  </si>
  <si>
    <t>Objekta nospraušana un nostiprināšana dabā</t>
  </si>
  <si>
    <t>Ceļi un laukumi</t>
  </si>
  <si>
    <t>Gultnes sagatavošana un planēšana ceļiem un laukumiem,lieko grunti aizvedot uz atbērtni</t>
  </si>
  <si>
    <t>ĀS-1.1</t>
  </si>
  <si>
    <t>Horizontālās hidroizolācijas izveide (starp cokolu un koka brusu) GM-1 Cokolpaneļa un ārsienas savienojuma mezgls</t>
  </si>
  <si>
    <t>Skārda lāseņu montāža GM-1 Cokolpaneļa un ārsienas savienojuma mezgls</t>
  </si>
  <si>
    <t>Koka dēļu 25 mm pamīšus montāža skat shēmu. T.sk. Stiprinājumi</t>
  </si>
  <si>
    <t>Vārtu ailu apšuvums ar skārdu. Vārtu ailas uzlika,metāla loksnes biezums 0.5mm</t>
  </si>
  <si>
    <t>Būvbedres un tranšejas aizbēršana mehanizēti un ar rokām ar pievesto smilti</t>
  </si>
  <si>
    <t>Esoša vai uzbēruma grunts, profilēta,
noblīvēta</t>
  </si>
  <si>
    <t>30 cm drenējošā kārtas izbūve</t>
  </si>
  <si>
    <t xml:space="preserve">25 cm nesaistītu minerālmateriālu
maisījums 0/45 (N-III klase) </t>
  </si>
  <si>
    <t>15 cm betons C25/30 XC2
tērauda stiegrojums 8/8/200/200</t>
  </si>
  <si>
    <t>Liekās grunts aizvešana  . Derīgās augsnes kārtas transports līdz  pagaidu uzglabāšanas vieta skat DOP</t>
  </si>
  <si>
    <t>1</t>
  </si>
  <si>
    <t>Cauruļvadu izbūve gruntī rokot un aizberot tranšejas dziļumā vid. 1,5m. Cauruļvadu pamatnes sagatavošana un to apbēršana pēc konkrētā caurules ražotāja noteikumiem</t>
  </si>
  <si>
    <t>2</t>
  </si>
  <si>
    <t>PE OD25 ūdens cauruļu SDR17, tai skaitā veidgabalu, montāža gruntī</t>
  </si>
  <si>
    <t>3</t>
  </si>
  <si>
    <t>Pieslēguma dzirdnei, dzirdnes montāža, ieskaitot noslēgventili 3/4" 2gb.</t>
  </si>
  <si>
    <t>kpl.</t>
  </si>
  <si>
    <t>4</t>
  </si>
  <si>
    <t>PE OD200 caurules Lvid=1,6m uzstādīšana vertikāli dzirdņu ūdensvadu pievadu aizsardzībai</t>
  </si>
  <si>
    <t>5</t>
  </si>
  <si>
    <t>6</t>
  </si>
  <si>
    <t>Ūdensvada skalošana un dezinfekcija</t>
  </si>
  <si>
    <t>7</t>
  </si>
  <si>
    <t xml:space="preserve">Stiprinājumi un montāžas palīgmateriāli </t>
  </si>
  <si>
    <t>Trases nospraušana</t>
  </si>
  <si>
    <t xml:space="preserve">Auglīgā slāņa noņemšana h=10cm un aizvešana (līdz 2km uz pasūtītāja atbērtni),  zaļās zonas atjaunošana </t>
  </si>
  <si>
    <r>
      <t>m</t>
    </r>
    <r>
      <rPr>
        <vertAlign val="superscript"/>
        <sz val="10"/>
        <rFont val="Arial"/>
        <family val="2"/>
        <charset val="186"/>
      </rPr>
      <t>2</t>
    </r>
  </si>
  <si>
    <t xml:space="preserve">Grants seguma noņemšana un aizvešana (līdz 2km uz pasūtītāja atbērtni), seguma atjaunošana </t>
  </si>
  <si>
    <t>Tranšejas h=līdz 2m rakšana, platums h=1,5m</t>
  </si>
  <si>
    <t>m³</t>
  </si>
  <si>
    <t>Tranšejas rakšana ar rokām esošo  komunikāciju šķērsojuma vietās</t>
  </si>
  <si>
    <t>vieta</t>
  </si>
  <si>
    <t>Virszemes ūdens atsūknēšana no tranšejas ar drenāžas sūkni (nepieciešamības gadījumā)</t>
  </si>
  <si>
    <t>Grunts ūdens līmeņa pazemināšana ar adatfiltriem cauruļu rakšanas zonā (nepieciešamības gadījumā)</t>
  </si>
  <si>
    <t>Smilts pamatnes ierīkošana zem cauruļvadiem b=0,15 m un cauruļvada apbērums b=0,15 m</t>
  </si>
  <si>
    <t xml:space="preserve">Ūdensapgādes cauruļvada PE OD40, SDR17 montāža tranšejā </t>
  </si>
  <si>
    <t>Pieslēgums pie esošā ūdensvada esošajā akā pievienojuma vietā uzstādot aizsargčaulu OD40 caurulei, aizbīdni DN32, univerālo savienojošo uzmavu (precizēt objektā)</t>
  </si>
  <si>
    <t>Tranšejas aizbēršana, blietējot</t>
  </si>
  <si>
    <t xml:space="preserve">Liekās grunts pārvietošana līdz 2km </t>
  </si>
  <si>
    <t xml:space="preserve">Ūdensvada skalošana un dezinfekcija, ieskaitot dezinfekcijai nepieciešamos materiālus, kā arī visas citas nepieciešamās spiedienu pārbaudes </t>
  </si>
  <si>
    <t>obj.</t>
  </si>
  <si>
    <t>Pagaidu ūdens ņemšanas vietas ierīkošana</t>
  </si>
  <si>
    <t>Barības galda borts</t>
  </si>
  <si>
    <t xml:space="preserve">Stiegrojumu montāža </t>
  </si>
  <si>
    <t>Pakāpiens pie barības galda</t>
  </si>
  <si>
    <t>Jumta kores montāža starp skursteņiem</t>
  </si>
  <si>
    <t>Kontaktligzda V/A 3/N/PE; 380V; 16A; IP65 + 1/N/PE; 220V; 16A</t>
  </si>
  <si>
    <t>Pārslēdzis V/A 230V 10A IP65</t>
  </si>
  <si>
    <t>Sadalne S1 IP65 V/A, nokomplektēt pēc shēmas</t>
  </si>
  <si>
    <t>Sadalne S2 IP65 V/A, nokomplektēt pēc shēmas</t>
  </si>
  <si>
    <t>Ledvance prož. ar kustības sensru 41W IP65 4000K 6000 lm</t>
  </si>
  <si>
    <t>LED gaismeklis 100W 16000lm 4000K IP66 melns UFO</t>
  </si>
  <si>
    <t>Evakuācijas moulis IZEJA V/A IP65 1h</t>
  </si>
  <si>
    <t>Kabelis Al 5x25</t>
  </si>
  <si>
    <t>Kabelis Cu 5x10</t>
  </si>
  <si>
    <t>Kabelis Cu 5x4</t>
  </si>
  <si>
    <t>Kabelis Cu 5x2,5</t>
  </si>
  <si>
    <t xml:space="preserve">Kabelis Cu 3x1,5 </t>
  </si>
  <si>
    <t xml:space="preserve">Kabelis Cu 3x2,5 </t>
  </si>
  <si>
    <t>Kabelis Cu 5x1,5</t>
  </si>
  <si>
    <t xml:space="preserve">Kabelis Cu 4x1,5 </t>
  </si>
  <si>
    <t>Kabelis Cu 2x1</t>
  </si>
  <si>
    <t>Gofra 450N ∅=50mm</t>
  </si>
  <si>
    <t>Gofra 450N ∅=110mm</t>
  </si>
  <si>
    <t>Cietā instalācijas caurule līdz 25mm</t>
  </si>
  <si>
    <t>Gofrētā instalācijas caurule līdz 25mm</t>
  </si>
  <si>
    <t>Karsti cinkota tērauda lenta 30x3,5mm</t>
  </si>
  <si>
    <t>Izolēt cinkots tērauda apaļdzelzs d=10mm</t>
  </si>
  <si>
    <t>Cinkots tērauda apaļdzelzs d=10mm</t>
  </si>
  <si>
    <t>Plakandzelzs - savienojuma klemme</t>
  </si>
  <si>
    <r>
      <t>Vads - dzeltenzaļš 6mm</t>
    </r>
    <r>
      <rPr>
        <sz val="12.5"/>
        <rFont val="Arial"/>
        <family val="2"/>
        <charset val="186"/>
      </rPr>
      <t>²</t>
    </r>
  </si>
  <si>
    <r>
      <t>Vads - dzeltenzaļš 16mm</t>
    </r>
    <r>
      <rPr>
        <sz val="12.5"/>
        <rFont val="Arial"/>
        <family val="2"/>
        <charset val="186"/>
      </rPr>
      <t>²</t>
    </r>
  </si>
  <si>
    <t>Palīgmateriāli</t>
  </si>
  <si>
    <t>Citi darbi</t>
  </si>
  <si>
    <t xml:space="preserve">Kalšanas un štrobēšanas darbi </t>
  </si>
  <si>
    <t>Mērijumu veikšana</t>
  </si>
  <si>
    <t>Izpilddokumentācija</t>
  </si>
  <si>
    <t>objekts</t>
  </si>
  <si>
    <t>3.2</t>
  </si>
  <si>
    <t>Krusta klemme 30mm lentēm, c. tērauda</t>
  </si>
  <si>
    <t xml:space="preserve">Multiklemme </t>
  </si>
  <si>
    <t>Zibens novedējstieple AlMgSi d=8mm</t>
  </si>
  <si>
    <t xml:space="preserve">Stieples striprinājumi </t>
  </si>
  <si>
    <t>Zibens uztvērējs L=2,0m d=16/10mm</t>
  </si>
  <si>
    <t>Zibens uztvērēja stiprinājumi uz jumta kores</t>
  </si>
  <si>
    <t>Zemējuma elektrods L=3m</t>
  </si>
  <si>
    <t>Zemējuma elektroda spice</t>
  </si>
  <si>
    <t>Zemējuma elektroda montāžas galva (1 gab. Uz 40)</t>
  </si>
  <si>
    <t>Krustaklemme (zemējuma elektroda pievienošanai)</t>
  </si>
  <si>
    <t>Izolēts cinkota tērauda apaļdzelzs d=10mm</t>
  </si>
  <si>
    <t>Savienojuma klemme plakandzelzs – apaļdzelzs</t>
  </si>
  <si>
    <t>Antikorozijas lenta 50mm 10m rullis</t>
  </si>
  <si>
    <t>Aizsargcaurule gofrēta 450N ∅=110mm</t>
  </si>
  <si>
    <t>Kabelis AXMK 4x70 mm²</t>
  </si>
  <si>
    <t>Kabeļu gala apdare EPKT 0031</t>
  </si>
  <si>
    <t>Kabeļu signāllenta</t>
  </si>
  <si>
    <t>Smiltis</t>
  </si>
  <si>
    <t>Tranšejas rakšana / aizbēršana</t>
  </si>
  <si>
    <t>Esošās sadalnes saudzīga demontāža</t>
  </si>
  <si>
    <t>Esošās sadalnes uzstādīšana atpakaļ un shēmojuma sakārtošana ar palīgmateriāliem, lai pieslēgtu jaunbūvi</t>
  </si>
  <si>
    <t>Elektrisko mērijumu veikšana</t>
  </si>
  <si>
    <t>Izpilddokumentācijas sagatavošana</t>
  </si>
  <si>
    <t>Betons C25/30 XC2 120 mm iestrāde t.sk. Palīgmateriāli, deformācijas šuvju ierīkošana</t>
  </si>
  <si>
    <t>Kūtsmēslu kanāls</t>
  </si>
  <si>
    <t>Kūtsmēslu šķērskanāls 800/919 SN8</t>
  </si>
  <si>
    <t>Kūtsmēslu šķērskanāla skalošanas caurule d= 158/168</t>
  </si>
  <si>
    <t>Kūtsmēslu šķērskanāla pamatnes izbūve</t>
  </si>
  <si>
    <t>Nepieciešamie papilddarbi, sīko elementu montāža</t>
  </si>
  <si>
    <t>Koka brusas koka dēlīšiem un aizkariem</t>
  </si>
  <si>
    <t>Papildmateriāli</t>
  </si>
  <si>
    <t>Tehnikas izvietojuma un lielgabarīta būvmateriālu novietne - nožogota ar pagaidu žogu</t>
  </si>
  <si>
    <t>Pamatu rakšana ar mehanizēti un ar rokām, iekraujot grunti automašīnā-pašizgāzējā</t>
  </si>
  <si>
    <t>Tāme sastādīta:  2026.gada 8.Aprīlī</t>
  </si>
  <si>
    <t>Caurtekas uz grāvjiem</t>
  </si>
  <si>
    <t>Grīdas josla pie vārtiem</t>
  </si>
  <si>
    <t>Betona kanāla demontāža   t.sk. Būvgružu izvešana , nodošana pārstrādeii~20m</t>
  </si>
  <si>
    <t xml:space="preserve">Esošā šķūņa pilna ēkas demontāža(izņemot koka dēļus un jumta segumu)t.sk. pamati  t.sk. Būvgružu izvešana , nodošana pārstrādei. </t>
  </si>
  <si>
    <t xml:space="preserve">Jaunbūves šķērkanālu paredzēts pievienot
pie esošā mēslu kanāla. Esošo šahtu  
paredzēts daļēji demontēt. Pieslēguma
vietu precizēt dabā būvdarbu laikā, pirms
pieslēguma izveidošanas. t.sk. Būvgružu izvešana , nodošana pārstrādei. </t>
  </si>
  <si>
    <t>Demontēt esošo ūdens pieslēgumu.   t.sk. Būvgružu izvešana , nodošana pārstrādei</t>
  </si>
  <si>
    <t>Esošu drenu vai kolektoru likvidēšana
un aiztamponēšanas vieta/ demontējamās būves  t.sk. Būvgružu izvešana , nodošana pārstrādei</t>
  </si>
  <si>
    <t>Garenvirzienā un diagonāli rievota betona virsma</t>
  </si>
  <si>
    <t>Pamati zem bloku sienām</t>
  </si>
  <si>
    <t>V-03 5000x4000 mm  Vertikāli sekcijtipa paceļamu vārtu montāža.Metāla sekcijtipa paceļamie vārti ar automātiku Spraugas, pēc vārtu montāžas, aizpildīt ar akmens vati, no telpas iekšpuses ailu pa perimetru nolīmēt ar tvaiku izolējošu lentu t.sk. Palīgmateriāli, apdares elementi ap vārtiem</t>
  </si>
  <si>
    <t>Betona bloku mūris Columbian Kivi
190x390x190(h)mm T.sk. Palīgmateriāli. Mūra dobie bloki pildīti ar betonu un stiegroti katrā 2. šuvē</t>
  </si>
  <si>
    <t>Veidņu uzstādīšana, nojaukšana</t>
  </si>
  <si>
    <t>Inventārveidņu noma, piegāde, aizvešana</t>
  </si>
  <si>
    <t>Papildmateriāli (Veidņu eļļa, distancionārās caurulītes, caurulīšu konusi, u.c.)</t>
  </si>
  <si>
    <t>Betona piegāde</t>
  </si>
  <si>
    <t>h</t>
  </si>
  <si>
    <t>Betona sūknēšana</t>
  </si>
  <si>
    <t>Stiegrojuma armatūra, t.sk. locītā armatūra</t>
  </si>
  <si>
    <t>Papildmateriāli (Distanceri, armatūras sienamās stieples, u.c.)</t>
  </si>
  <si>
    <t>Betons C30/37; XC2</t>
  </si>
  <si>
    <t>Betons C25/30; XC2</t>
  </si>
  <si>
    <t>Skreipera UPN profila montāža</t>
  </si>
  <si>
    <t xml:space="preserve">Betona iestrādāšana pamatu konstrukcijās C30/37 XC2  novibrējot,betonu padod ar sūkni </t>
  </si>
  <si>
    <t>IS-02 Betona siena 190 mm</t>
  </si>
  <si>
    <t>Dzelzsbetona akas DN1500 izbūve, ar siltinātu vāku iebūvei zaļajā zonā, H=2,12m ar ūdens sadales mezglu - noslēgventilis DN32, 6gb. noslēgventilis 3/4" kolektors ar 5 atzariem DN20, tukšošanas ventilis DN15 uc. Veidgabali, aizsarggčaula OD40 caurulei un Od25 caurulei 5gb.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</si>
</sst>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 #,##0.00_-;_-* \-??_-;_-@_-"/>
    <numFmt numFmtId="165" formatCode="m\o\n\th\ d\,\ yyyy"/>
    <numFmt numFmtId="166" formatCode="#.00"/>
    <numFmt numFmtId="167" formatCode="#."/>
    <numFmt numFmtId="168" formatCode="0.0"/>
  </numFmts>
  <fonts count="58" x14ac:knownFonts="1">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Arial"/>
      <family val="2"/>
      <charset val="186"/>
    </font>
    <font>
      <b/>
      <sz val="12"/>
      <name val="Arial"/>
      <family val="2"/>
      <charset val="186"/>
    </font>
    <font>
      <b/>
      <sz val="16"/>
      <name val="Arial"/>
      <family val="2"/>
      <charset val="186"/>
    </font>
    <font>
      <sz val="11"/>
      <name val="Arial"/>
      <family val="2"/>
      <charset val="186"/>
    </font>
    <font>
      <b/>
      <sz val="11"/>
      <name val="Arial"/>
      <family val="2"/>
      <charset val="186"/>
    </font>
    <font>
      <b/>
      <sz val="14"/>
      <name val="Arial"/>
      <family val="2"/>
      <charset val="186"/>
    </font>
    <font>
      <b/>
      <sz val="13"/>
      <name val="Arial"/>
      <family val="2"/>
      <charset val="186"/>
    </font>
    <font>
      <sz val="11"/>
      <color indexed="10"/>
      <name val="Arial"/>
      <family val="2"/>
      <charset val="186"/>
    </font>
    <font>
      <sz val="8"/>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2"/>
      <color theme="3" tint="-0.499984740745262"/>
      <name val="Arial"/>
      <family val="2"/>
      <charset val="204"/>
    </font>
    <font>
      <sz val="14"/>
      <name val="Arial"/>
      <family val="2"/>
      <charset val="186"/>
    </font>
    <font>
      <b/>
      <sz val="10"/>
      <name val="Arial"/>
      <family val="2"/>
      <charset val="186"/>
    </font>
    <font>
      <sz val="10"/>
      <name val="Arial"/>
      <family val="2"/>
    </font>
    <font>
      <sz val="10"/>
      <color theme="5" tint="-0.499984740745262"/>
      <name val="Arial"/>
      <family val="2"/>
      <charset val="186"/>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b/>
      <sz val="10"/>
      <color theme="1"/>
      <name val="Arial"/>
      <family val="2"/>
      <charset val="186"/>
    </font>
    <font>
      <sz val="9"/>
      <name val="Arial"/>
      <family val="2"/>
      <charset val="186"/>
    </font>
    <font>
      <sz val="12"/>
      <color theme="0"/>
      <name val="Arial"/>
      <family val="2"/>
      <charset val="186"/>
    </font>
    <font>
      <sz val="11"/>
      <name val="Calibri"/>
      <family val="2"/>
      <charset val="186"/>
      <scheme val="minor"/>
    </font>
    <font>
      <b/>
      <sz val="12"/>
      <name val="Arial"/>
      <family val="2"/>
      <charset val="204"/>
    </font>
    <font>
      <sz val="11"/>
      <color indexed="8"/>
      <name val="Arial"/>
      <family val="2"/>
      <charset val="186"/>
    </font>
    <font>
      <i/>
      <sz val="12"/>
      <name val="Arial"/>
      <family val="2"/>
      <charset val="186"/>
    </font>
    <font>
      <sz val="11"/>
      <color indexed="8"/>
      <name val="Calibri"/>
      <family val="2"/>
      <charset val="204"/>
    </font>
    <font>
      <sz val="11"/>
      <color indexed="8"/>
      <name val="Calibri"/>
      <family val="2"/>
      <charset val="186"/>
    </font>
    <font>
      <sz val="11"/>
      <color rgb="FFFF0000"/>
      <name val="Arial"/>
      <family val="2"/>
      <charset val="186"/>
    </font>
    <font>
      <sz val="10"/>
      <color rgb="FFFF0000"/>
      <name val="Arial"/>
      <family val="2"/>
      <charset val="186"/>
    </font>
    <font>
      <sz val="10"/>
      <color theme="0"/>
      <name val="Arial"/>
      <family val="2"/>
      <charset val="186"/>
    </font>
    <font>
      <sz val="9"/>
      <name val="Arial"/>
      <family val="2"/>
    </font>
    <font>
      <sz val="9"/>
      <color theme="1"/>
      <name val="Arial"/>
      <family val="2"/>
    </font>
    <font>
      <sz val="11"/>
      <name val="Arial"/>
      <family val="2"/>
    </font>
    <font>
      <b/>
      <i/>
      <sz val="9"/>
      <name val="Arial"/>
      <family val="2"/>
    </font>
    <font>
      <b/>
      <sz val="9"/>
      <name val="Arial"/>
      <family val="2"/>
    </font>
    <font>
      <sz val="10"/>
      <color indexed="8"/>
      <name val="Arial"/>
      <family val="2"/>
      <charset val="186"/>
    </font>
    <font>
      <sz val="11"/>
      <name val="Calibri"/>
      <family val="2"/>
      <charset val="186"/>
    </font>
    <font>
      <vertAlign val="superscript"/>
      <sz val="10"/>
      <name val="Arial"/>
      <family val="2"/>
      <charset val="186"/>
    </font>
    <font>
      <b/>
      <sz val="12"/>
      <name val="Arial"/>
      <family val="2"/>
    </font>
    <font>
      <sz val="12.5"/>
      <name val="Arial"/>
      <family val="2"/>
      <charset val="186"/>
    </font>
    <font>
      <sz val="9"/>
      <name val="Tahoma"/>
      <family val="2"/>
    </font>
    <font>
      <sz val="9"/>
      <name val="Tahoma"/>
      <family val="2"/>
      <charset val="186"/>
    </font>
    <font>
      <sz val="9"/>
      <color rgb="FFFF0000"/>
      <name val="Tahoma"/>
      <family val="2"/>
    </font>
    <font>
      <sz val="9"/>
      <color theme="1"/>
      <name val="Tahoma"/>
      <family val="2"/>
      <charset val="186"/>
    </font>
    <font>
      <sz val="9"/>
      <color theme="1"/>
      <name val="Tahoma"/>
      <family val="2"/>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
      <patternFill patternType="solid">
        <fgColor theme="0"/>
        <bgColor indexed="26"/>
      </patternFill>
    </fill>
    <fill>
      <patternFill patternType="solid">
        <fgColor theme="8" tint="0.7999816888943144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style="thin">
        <color theme="0" tint="-0.24994659260841701"/>
      </left>
      <right style="thin">
        <color indexed="64"/>
      </right>
      <top style="thin">
        <color theme="0" tint="-0.34998626667073579"/>
      </top>
      <bottom style="thin">
        <color indexed="64"/>
      </bottom>
      <diagonal/>
    </border>
    <border>
      <left style="thin">
        <color theme="0" tint="-0.24994659260841701"/>
      </left>
      <right style="thin">
        <color theme="0" tint="-0.24994659260841701"/>
      </right>
      <top style="thin">
        <color theme="0" tint="-0.34998626667073579"/>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55">
    <xf numFmtId="0" fontId="0"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18" fillId="0" borderId="0" applyFill="0" applyBorder="0" applyAlignment="0" applyProtection="0"/>
    <xf numFmtId="165" fontId="19" fillId="0" borderId="0">
      <protection locked="0"/>
    </xf>
    <xf numFmtId="166" fontId="19" fillId="0" borderId="0">
      <protection locked="0"/>
    </xf>
    <xf numFmtId="167" fontId="20" fillId="0" borderId="0">
      <protection locked="0"/>
    </xf>
    <xf numFmtId="167" fontId="20"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21" fillId="0" borderId="0"/>
    <xf numFmtId="0" fontId="18" fillId="0" borderId="0"/>
    <xf numFmtId="0" fontId="5" fillId="0" borderId="0"/>
    <xf numFmtId="43" fontId="5" fillId="0" borderId="0" applyFont="0" applyFill="0" applyBorder="0" applyAlignment="0" applyProtection="0"/>
    <xf numFmtId="0" fontId="4" fillId="0" borderId="0"/>
    <xf numFmtId="0" fontId="21" fillId="0" borderId="0"/>
    <xf numFmtId="0" fontId="3" fillId="0" borderId="0"/>
    <xf numFmtId="0" fontId="3" fillId="0" borderId="0"/>
    <xf numFmtId="0" fontId="38" fillId="0" borderId="0"/>
    <xf numFmtId="0" fontId="3" fillId="0" borderId="0"/>
    <xf numFmtId="43" fontId="39" fillId="0" borderId="0" applyFont="0" applyFill="0" applyBorder="0" applyAlignment="0" applyProtection="0"/>
    <xf numFmtId="0" fontId="3" fillId="0" borderId="0"/>
    <xf numFmtId="0" fontId="8" fillId="0" borderId="0"/>
    <xf numFmtId="0" fontId="2" fillId="0" borderId="0"/>
    <xf numFmtId="0" fontId="1" fillId="0" borderId="0"/>
    <xf numFmtId="0" fontId="8" fillId="0" borderId="0"/>
    <xf numFmtId="0" fontId="39" fillId="0" borderId="0"/>
    <xf numFmtId="0" fontId="1" fillId="0" borderId="0"/>
    <xf numFmtId="0" fontId="1" fillId="0" borderId="0"/>
    <xf numFmtId="0" fontId="1" fillId="0" borderId="0"/>
    <xf numFmtId="0" fontId="25" fillId="0" borderId="0"/>
  </cellStyleXfs>
  <cellXfs count="336">
    <xf numFmtId="0" fontId="0" fillId="0" borderId="0" xfId="0"/>
    <xf numFmtId="0" fontId="8" fillId="0" borderId="0" xfId="0" applyFont="1"/>
    <xf numFmtId="0" fontId="12" fillId="0" borderId="0" xfId="0" applyFont="1" applyAlignment="1">
      <alignment horizontal="right" vertical="top" wrapText="1"/>
    </xf>
    <xf numFmtId="0" fontId="12" fillId="0" borderId="0" xfId="0" applyFont="1"/>
    <xf numFmtId="0" fontId="12" fillId="0" borderId="0" xfId="0" applyFont="1" applyAlignment="1">
      <alignment horizontal="left"/>
    </xf>
    <xf numFmtId="0" fontId="8" fillId="0" borderId="0" xfId="27" applyFont="1"/>
    <xf numFmtId="0" fontId="8" fillId="0" borderId="0" xfId="27" applyFont="1" applyAlignment="1">
      <alignment horizontal="right"/>
    </xf>
    <xf numFmtId="0" fontId="9" fillId="0" borderId="0" xfId="27" applyFont="1" applyAlignment="1">
      <alignment horizontal="right"/>
    </xf>
    <xf numFmtId="0" fontId="10" fillId="0" borderId="0" xfId="27" applyFont="1" applyAlignment="1">
      <alignment horizontal="center"/>
    </xf>
    <xf numFmtId="0" fontId="22" fillId="0" borderId="0" xfId="27" applyFont="1" applyAlignment="1">
      <alignment horizontal="right" vertical="center" wrapText="1"/>
    </xf>
    <xf numFmtId="0" fontId="12" fillId="0" borderId="0" xfId="27" applyFont="1" applyAlignment="1">
      <alignment horizontal="right"/>
    </xf>
    <xf numFmtId="0" fontId="6" fillId="0" borderId="0" xfId="27"/>
    <xf numFmtId="0" fontId="12" fillId="0" borderId="0" xfId="0" applyFont="1" applyAlignment="1">
      <alignment horizontal="right"/>
    </xf>
    <xf numFmtId="0" fontId="25" fillId="0" borderId="9" xfId="34" applyFont="1" applyBorder="1" applyAlignment="1" applyProtection="1">
      <alignment horizontal="center" vertical="center"/>
      <protection locked="0"/>
    </xf>
    <xf numFmtId="0" fontId="25" fillId="7" borderId="9" xfId="34" applyFont="1" applyFill="1" applyBorder="1" applyAlignment="1" applyProtection="1">
      <alignment horizontal="center" vertical="center"/>
      <protection locked="0"/>
    </xf>
    <xf numFmtId="0" fontId="28" fillId="0" borderId="0" xfId="36" applyFont="1"/>
    <xf numFmtId="0" fontId="28" fillId="0" borderId="0" xfId="36" applyFont="1" applyAlignment="1">
      <alignment horizontal="right" vertical="center"/>
    </xf>
    <xf numFmtId="0" fontId="29" fillId="0" borderId="0" xfId="36" applyFont="1" applyAlignment="1">
      <alignment vertical="center"/>
    </xf>
    <xf numFmtId="0" fontId="28" fillId="0" borderId="0" xfId="36" applyFont="1" applyAlignment="1">
      <alignment vertical="center"/>
    </xf>
    <xf numFmtId="0" fontId="28" fillId="8" borderId="0" xfId="36" applyFont="1" applyFill="1" applyAlignment="1">
      <alignment horizontal="right" vertical="center"/>
    </xf>
    <xf numFmtId="0" fontId="29" fillId="0" borderId="0" xfId="36" applyFont="1"/>
    <xf numFmtId="0" fontId="27" fillId="0" borderId="0" xfId="36" applyFont="1"/>
    <xf numFmtId="164" fontId="31" fillId="0" borderId="0" xfId="36" applyNumberFormat="1" applyFont="1"/>
    <xf numFmtId="0" fontId="28" fillId="8" borderId="0" xfId="36" applyFont="1" applyFill="1" applyAlignment="1">
      <alignment vertical="center"/>
    </xf>
    <xf numFmtId="0" fontId="27" fillId="0" borderId="13" xfId="36" applyFont="1" applyBorder="1" applyAlignment="1">
      <alignment horizontal="center" vertical="center"/>
    </xf>
    <xf numFmtId="2" fontId="27" fillId="0" borderId="11" xfId="36" applyNumberFormat="1" applyFont="1" applyBorder="1" applyAlignment="1">
      <alignment horizontal="center" vertical="center"/>
    </xf>
    <xf numFmtId="2" fontId="26" fillId="0" borderId="11" xfId="36" applyNumberFormat="1" applyFont="1" applyBorder="1" applyAlignment="1">
      <alignment horizontal="center" vertical="center"/>
    </xf>
    <xf numFmtId="2" fontId="27" fillId="7" borderId="11" xfId="36" applyNumberFormat="1" applyFont="1" applyFill="1" applyBorder="1" applyAlignment="1">
      <alignment horizontal="center" vertical="center"/>
    </xf>
    <xf numFmtId="2" fontId="27" fillId="0" borderId="14" xfId="36" applyNumberFormat="1" applyFont="1" applyBorder="1" applyAlignment="1">
      <alignment horizontal="center" vertical="center"/>
    </xf>
    <xf numFmtId="0" fontId="27" fillId="0" borderId="15" xfId="36" applyFont="1" applyBorder="1" applyAlignment="1">
      <alignment horizontal="center" vertical="center"/>
    </xf>
    <xf numFmtId="0" fontId="27" fillId="0" borderId="17" xfId="36" applyFont="1" applyBorder="1" applyAlignment="1">
      <alignment vertical="center" wrapText="1"/>
    </xf>
    <xf numFmtId="0" fontId="27" fillId="0" borderId="17" xfId="36" applyFont="1" applyBorder="1" applyAlignment="1">
      <alignment horizontal="center" vertical="center" wrapText="1"/>
    </xf>
    <xf numFmtId="2" fontId="27" fillId="0" borderId="17" xfId="36" applyNumberFormat="1" applyFont="1" applyBorder="1" applyAlignment="1">
      <alignment horizontal="center" vertical="center"/>
    </xf>
    <xf numFmtId="2" fontId="27" fillId="7" borderId="17" xfId="36" applyNumberFormat="1" applyFont="1" applyFill="1" applyBorder="1" applyAlignment="1">
      <alignment horizontal="center" vertical="center"/>
    </xf>
    <xf numFmtId="2" fontId="27" fillId="0" borderId="18" xfId="36" applyNumberFormat="1" applyFont="1" applyBorder="1" applyAlignment="1">
      <alignment horizontal="center" vertical="center"/>
    </xf>
    <xf numFmtId="0" fontId="28" fillId="0" borderId="5" xfId="36" applyFont="1" applyBorder="1" applyAlignment="1">
      <alignment vertical="top"/>
    </xf>
    <xf numFmtId="164" fontId="13" fillId="0" borderId="20" xfId="36" applyNumberFormat="1" applyFont="1" applyBorder="1" applyAlignment="1">
      <alignment horizontal="right" vertical="center"/>
    </xf>
    <xf numFmtId="0" fontId="27" fillId="0" borderId="0" xfId="36" applyFont="1" applyAlignment="1">
      <alignment vertical="top"/>
    </xf>
    <xf numFmtId="0" fontId="27" fillId="0" borderId="0" xfId="36" applyFont="1" applyAlignment="1">
      <alignment vertical="center" wrapText="1"/>
    </xf>
    <xf numFmtId="0" fontId="30" fillId="0" borderId="0" xfId="36" applyFont="1" applyAlignment="1">
      <alignment vertical="center"/>
    </xf>
    <xf numFmtId="0" fontId="28" fillId="0" borderId="0" xfId="36" applyFont="1" applyAlignment="1">
      <alignment horizontal="left" vertical="center"/>
    </xf>
    <xf numFmtId="2" fontId="26" fillId="0" borderId="11" xfId="0" applyNumberFormat="1" applyFont="1" applyBorder="1" applyAlignment="1">
      <alignment horizontal="center" vertical="center"/>
    </xf>
    <xf numFmtId="0" fontId="29" fillId="7" borderId="0" xfId="36" applyFont="1" applyFill="1"/>
    <xf numFmtId="0" fontId="27" fillId="7" borderId="0" xfId="36" applyFont="1" applyFill="1" applyAlignment="1">
      <alignment vertical="top"/>
    </xf>
    <xf numFmtId="0" fontId="28" fillId="7" borderId="0" xfId="36" applyFont="1" applyFill="1" applyAlignment="1">
      <alignment vertical="center"/>
    </xf>
    <xf numFmtId="0" fontId="28" fillId="7" borderId="0" xfId="36" applyFont="1" applyFill="1"/>
    <xf numFmtId="2" fontId="27" fillId="7" borderId="21" xfId="36" applyNumberFormat="1" applyFont="1" applyFill="1" applyBorder="1" applyAlignment="1">
      <alignment horizontal="center" vertical="center"/>
    </xf>
    <xf numFmtId="2" fontId="26" fillId="7" borderId="11" xfId="36" applyNumberFormat="1" applyFont="1" applyFill="1" applyBorder="1" applyAlignment="1">
      <alignment horizontal="center" vertical="center"/>
    </xf>
    <xf numFmtId="2" fontId="26" fillId="7" borderId="21" xfId="0" applyNumberFormat="1" applyFont="1" applyFill="1" applyBorder="1" applyAlignment="1">
      <alignment horizontal="center" vertical="center"/>
    </xf>
    <xf numFmtId="4" fontId="8" fillId="3" borderId="11" xfId="0" applyNumberFormat="1" applyFont="1" applyFill="1" applyBorder="1" applyAlignment="1">
      <alignment horizontal="center"/>
    </xf>
    <xf numFmtId="4" fontId="26" fillId="0" borderId="14" xfId="0" applyNumberFormat="1" applyFont="1" applyBorder="1" applyAlignment="1">
      <alignment horizontal="center"/>
    </xf>
    <xf numFmtId="0" fontId="14" fillId="0" borderId="0" xfId="20" applyFont="1" applyAlignment="1">
      <alignment horizontal="center"/>
    </xf>
    <xf numFmtId="0" fontId="8" fillId="0" borderId="0" xfId="20"/>
    <xf numFmtId="0" fontId="14" fillId="0" borderId="0" xfId="20" applyFont="1" applyAlignment="1">
      <alignment horizontal="right" vertical="top" wrapText="1"/>
    </xf>
    <xf numFmtId="0" fontId="14" fillId="0" borderId="0" xfId="20" applyFont="1" applyAlignment="1">
      <alignment horizontal="center" vertical="top" wrapText="1"/>
    </xf>
    <xf numFmtId="4" fontId="13" fillId="7" borderId="7" xfId="20" applyNumberFormat="1" applyFont="1" applyFill="1" applyBorder="1" applyAlignment="1">
      <alignment horizontal="center" vertical="center" wrapText="1"/>
    </xf>
    <xf numFmtId="0" fontId="13" fillId="0" borderId="0" xfId="20" applyFont="1" applyAlignment="1">
      <alignment horizontal="left" vertical="center"/>
    </xf>
    <xf numFmtId="0" fontId="8" fillId="0" borderId="0" xfId="20" applyAlignment="1">
      <alignment horizontal="center"/>
    </xf>
    <xf numFmtId="0" fontId="9" fillId="0" borderId="0" xfId="20" applyFont="1" applyAlignment="1">
      <alignment vertical="top" wrapText="1"/>
    </xf>
    <xf numFmtId="0" fontId="12" fillId="0" borderId="0" xfId="20" applyFont="1"/>
    <xf numFmtId="0" fontId="23" fillId="0" borderId="0" xfId="20" applyFont="1" applyAlignment="1">
      <alignment vertical="top" wrapText="1"/>
    </xf>
    <xf numFmtId="0" fontId="33" fillId="0" borderId="0" xfId="20" applyFont="1" applyAlignment="1">
      <alignment horizontal="left"/>
    </xf>
    <xf numFmtId="0" fontId="23" fillId="0" borderId="27" xfId="20" applyFont="1" applyBorder="1" applyAlignment="1">
      <alignment horizontal="justify" vertical="top" wrapText="1"/>
    </xf>
    <xf numFmtId="0" fontId="23" fillId="0" borderId="28" xfId="20" applyFont="1" applyBorder="1" applyAlignment="1">
      <alignment horizontal="justify" vertical="top" wrapText="1"/>
    </xf>
    <xf numFmtId="0" fontId="23" fillId="0" borderId="31" xfId="20" applyFont="1" applyBorder="1" applyAlignment="1">
      <alignment horizontal="justify" vertical="top" wrapText="1"/>
    </xf>
    <xf numFmtId="0" fontId="24" fillId="0" borderId="32" xfId="20" applyFont="1" applyBorder="1" applyAlignment="1">
      <alignment horizontal="center" vertical="center" wrapText="1"/>
    </xf>
    <xf numFmtId="49" fontId="24" fillId="0" borderId="9" xfId="20" applyNumberFormat="1" applyFont="1" applyBorder="1" applyAlignment="1">
      <alignment horizontal="center" vertical="center" wrapText="1"/>
    </xf>
    <xf numFmtId="4" fontId="8" fillId="3" borderId="9" xfId="20" applyNumberFormat="1" applyFill="1" applyBorder="1" applyAlignment="1">
      <alignment horizontal="center"/>
    </xf>
    <xf numFmtId="0" fontId="24" fillId="0" borderId="32" xfId="20" applyFont="1" applyBorder="1" applyAlignment="1">
      <alignment horizontal="center" vertical="top" wrapText="1"/>
    </xf>
    <xf numFmtId="49" fontId="24" fillId="0" borderId="9" xfId="20" applyNumberFormat="1" applyFont="1" applyBorder="1" applyAlignment="1">
      <alignment horizontal="center" vertical="top" wrapText="1"/>
    </xf>
    <xf numFmtId="0" fontId="10" fillId="0" borderId="5" xfId="20" applyFont="1" applyBorder="1" applyAlignment="1">
      <alignment horizontal="right" vertical="top" wrapText="1"/>
    </xf>
    <xf numFmtId="4" fontId="13" fillId="6" borderId="5" xfId="20" applyNumberFormat="1" applyFont="1" applyFill="1" applyBorder="1" applyAlignment="1">
      <alignment horizontal="center" vertical="top" wrapText="1"/>
    </xf>
    <xf numFmtId="9" fontId="10" fillId="0" borderId="5" xfId="20" applyNumberFormat="1" applyFont="1" applyBorder="1" applyAlignment="1">
      <alignment horizontal="center" vertical="center" wrapText="1"/>
    </xf>
    <xf numFmtId="4" fontId="13" fillId="0" borderId="5" xfId="20" applyNumberFormat="1" applyFont="1" applyBorder="1" applyAlignment="1">
      <alignment horizontal="center" vertical="top" wrapText="1"/>
    </xf>
    <xf numFmtId="4" fontId="13" fillId="4" borderId="5" xfId="20" applyNumberFormat="1" applyFont="1" applyFill="1" applyBorder="1" applyAlignment="1">
      <alignment horizontal="center" vertical="top" wrapText="1"/>
    </xf>
    <xf numFmtId="0" fontId="23" fillId="0" borderId="0" xfId="20" applyFont="1" applyAlignment="1">
      <alignment horizontal="justify"/>
    </xf>
    <xf numFmtId="0" fontId="12" fillId="0" borderId="0" xfId="20" applyFont="1" applyAlignment="1">
      <alignment horizontal="right" vertical="top" wrapText="1"/>
    </xf>
    <xf numFmtId="0" fontId="12" fillId="0" borderId="0" xfId="20" applyFont="1" applyAlignment="1">
      <alignment vertical="top" wrapText="1"/>
    </xf>
    <xf numFmtId="0" fontId="12" fillId="0" borderId="0" xfId="20" applyFont="1" applyAlignment="1">
      <alignment horizontal="left"/>
    </xf>
    <xf numFmtId="0" fontId="9" fillId="0" borderId="0" xfId="20" applyFont="1" applyAlignment="1">
      <alignment horizontal="right" vertical="top" wrapText="1"/>
    </xf>
    <xf numFmtId="0" fontId="27" fillId="7" borderId="12" xfId="36" applyFont="1" applyFill="1" applyBorder="1" applyAlignment="1">
      <alignment horizontal="center" vertical="center"/>
    </xf>
    <xf numFmtId="16" fontId="9" fillId="0" borderId="0" xfId="20" applyNumberFormat="1" applyFont="1" applyAlignment="1">
      <alignment vertical="top" wrapText="1"/>
    </xf>
    <xf numFmtId="4" fontId="0" fillId="0" borderId="11" xfId="0" applyNumberFormat="1" applyBorder="1" applyAlignment="1">
      <alignment horizontal="center" vertical="center" wrapText="1"/>
    </xf>
    <xf numFmtId="3" fontId="0" fillId="0" borderId="35" xfId="0" applyNumberFormat="1" applyBorder="1" applyAlignment="1">
      <alignment horizontal="center" vertical="center" wrapText="1"/>
    </xf>
    <xf numFmtId="2" fontId="27" fillId="0" borderId="11" xfId="0" applyNumberFormat="1" applyFont="1" applyBorder="1" applyAlignment="1">
      <alignment horizontal="center" vertical="center"/>
    </xf>
    <xf numFmtId="2" fontId="27" fillId="0" borderId="14" xfId="0" applyNumberFormat="1" applyFont="1" applyBorder="1" applyAlignment="1">
      <alignment horizontal="center" vertical="center"/>
    </xf>
    <xf numFmtId="0" fontId="17" fillId="0" borderId="0" xfId="0" applyFont="1" applyAlignment="1">
      <alignment horizontal="center" vertical="top" wrapText="1"/>
    </xf>
    <xf numFmtId="2" fontId="26" fillId="7" borderId="11" xfId="0" applyNumberFormat="1" applyFont="1" applyFill="1" applyBorder="1" applyAlignment="1">
      <alignment horizontal="center" vertical="center"/>
    </xf>
    <xf numFmtId="0" fontId="35" fillId="0" borderId="0" xfId="27" applyFont="1" applyAlignment="1">
      <alignment horizontal="right" wrapText="1"/>
    </xf>
    <xf numFmtId="0" fontId="28" fillId="7" borderId="0" xfId="36" applyFont="1" applyFill="1" applyAlignment="1">
      <alignment horizontal="right" vertical="center"/>
    </xf>
    <xf numFmtId="0" fontId="28" fillId="7" borderId="0" xfId="36" applyFont="1" applyFill="1" applyAlignment="1">
      <alignment horizontal="left" vertical="center"/>
    </xf>
    <xf numFmtId="0" fontId="30" fillId="7" borderId="0" xfId="36" applyFont="1" applyFill="1" applyAlignment="1">
      <alignment vertical="center"/>
    </xf>
    <xf numFmtId="0" fontId="32" fillId="7" borderId="11" xfId="34" applyFont="1" applyFill="1" applyBorder="1" applyAlignment="1">
      <alignment horizontal="center" vertical="center" wrapText="1"/>
    </xf>
    <xf numFmtId="0" fontId="27" fillId="7" borderId="16" xfId="36" applyFont="1" applyFill="1" applyBorder="1" applyAlignment="1">
      <alignment horizontal="center" vertical="center"/>
    </xf>
    <xf numFmtId="0" fontId="28" fillId="7" borderId="5" xfId="36" applyFont="1" applyFill="1" applyBorder="1" applyAlignment="1">
      <alignment vertical="top"/>
    </xf>
    <xf numFmtId="0" fontId="29" fillId="7" borderId="0" xfId="36" applyFont="1" applyFill="1" applyAlignment="1">
      <alignment vertical="center"/>
    </xf>
    <xf numFmtId="0" fontId="10" fillId="0" borderId="5" xfId="20" applyFont="1" applyBorder="1" applyAlignment="1">
      <alignment horizontal="right" vertical="center" wrapText="1"/>
    </xf>
    <xf numFmtId="0" fontId="23" fillId="0" borderId="5" xfId="20" applyFont="1" applyBorder="1" applyAlignment="1">
      <alignment horizontal="justify" vertical="top" wrapText="1"/>
    </xf>
    <xf numFmtId="49" fontId="29" fillId="0" borderId="0" xfId="36" applyNumberFormat="1" applyFont="1"/>
    <xf numFmtId="4" fontId="16" fillId="0" borderId="0" xfId="0" applyNumberFormat="1" applyFont="1"/>
    <xf numFmtId="0" fontId="8" fillId="0" borderId="0" xfId="40" applyFont="1"/>
    <xf numFmtId="0" fontId="36" fillId="0" borderId="0" xfId="41" applyFont="1"/>
    <xf numFmtId="0" fontId="13" fillId="0" borderId="39" xfId="40" applyFont="1" applyBorder="1" applyAlignment="1">
      <alignment horizontal="center" vertical="top" wrapText="1"/>
    </xf>
    <xf numFmtId="0" fontId="13" fillId="0" borderId="40" xfId="40" applyFont="1" applyBorder="1" applyAlignment="1">
      <alignment horizontal="justify" vertical="top" wrapText="1"/>
    </xf>
    <xf numFmtId="4" fontId="13" fillId="3" borderId="41" xfId="40" applyNumberFormat="1" applyFont="1" applyFill="1" applyBorder="1" applyAlignment="1">
      <alignment horizontal="center" vertical="top" wrapText="1"/>
    </xf>
    <xf numFmtId="0" fontId="13" fillId="0" borderId="5" xfId="40" applyFont="1" applyBorder="1" applyAlignment="1">
      <alignment horizontal="center" vertical="center" wrapText="1"/>
    </xf>
    <xf numFmtId="0" fontId="13" fillId="0" borderId="5" xfId="40" applyFont="1" applyBorder="1" applyAlignment="1">
      <alignment horizontal="left" vertical="center" wrapText="1"/>
    </xf>
    <xf numFmtId="0" fontId="13" fillId="0" borderId="5" xfId="40" applyFont="1" applyBorder="1" applyAlignment="1">
      <alignment horizontal="center" vertical="top" wrapText="1"/>
    </xf>
    <xf numFmtId="0" fontId="13" fillId="0" borderId="5" xfId="40" applyFont="1" applyBorder="1" applyAlignment="1">
      <alignment horizontal="justify" vertical="top" wrapText="1"/>
    </xf>
    <xf numFmtId="0" fontId="9" fillId="0" borderId="5" xfId="0" applyFont="1" applyBorder="1" applyAlignment="1">
      <alignment horizontal="justify" vertical="top" wrapText="1"/>
    </xf>
    <xf numFmtId="0" fontId="10" fillId="0" borderId="5" xfId="0" applyFont="1" applyBorder="1" applyAlignment="1">
      <alignment horizontal="right" vertical="top" wrapText="1"/>
    </xf>
    <xf numFmtId="4" fontId="13" fillId="0" borderId="5" xfId="0" applyNumberFormat="1" applyFont="1" applyBorder="1" applyAlignment="1">
      <alignment horizontal="center" vertical="top" wrapText="1"/>
    </xf>
    <xf numFmtId="0" fontId="25" fillId="0" borderId="5" xfId="0" applyFont="1" applyBorder="1" applyAlignment="1">
      <alignment horizontal="right"/>
    </xf>
    <xf numFmtId="0" fontId="15" fillId="3" borderId="0" xfId="40" applyFont="1" applyFill="1" applyAlignment="1">
      <alignment horizontal="right" vertical="top" wrapText="1"/>
    </xf>
    <xf numFmtId="4" fontId="13" fillId="3" borderId="0" xfId="40" applyNumberFormat="1" applyFont="1" applyFill="1" applyAlignment="1">
      <alignment horizontal="center" vertical="top" wrapText="1"/>
    </xf>
    <xf numFmtId="0" fontId="8" fillId="3" borderId="0" xfId="40" applyFont="1" applyFill="1"/>
    <xf numFmtId="0" fontId="3" fillId="0" borderId="0" xfId="40"/>
    <xf numFmtId="0" fontId="8" fillId="0" borderId="0" xfId="40" applyFont="1" applyAlignment="1">
      <alignment horizontal="justify"/>
    </xf>
    <xf numFmtId="4" fontId="8" fillId="0" borderId="0" xfId="40" applyNumberFormat="1" applyFont="1"/>
    <xf numFmtId="0" fontId="37" fillId="0" borderId="20" xfId="0" applyFont="1" applyBorder="1" applyAlignment="1">
      <alignment horizontal="right"/>
    </xf>
    <xf numFmtId="0" fontId="12" fillId="0" borderId="0" xfId="0" applyFont="1" applyAlignment="1">
      <alignment horizontal="center"/>
    </xf>
    <xf numFmtId="0" fontId="12" fillId="0" borderId="0" xfId="0" applyFont="1" applyAlignment="1">
      <alignment horizontal="center" vertical="top" wrapText="1"/>
    </xf>
    <xf numFmtId="0" fontId="36" fillId="3" borderId="0" xfId="41" applyFont="1" applyFill="1"/>
    <xf numFmtId="0" fontId="24" fillId="0" borderId="0" xfId="45" applyFont="1" applyAlignment="1">
      <alignment horizontal="left" vertical="center" wrapText="1"/>
    </xf>
    <xf numFmtId="0" fontId="0" fillId="0" borderId="0" xfId="45" applyFont="1" applyAlignment="1">
      <alignment vertical="center"/>
    </xf>
    <xf numFmtId="0" fontId="40" fillId="0" borderId="0" xfId="0" applyFont="1" applyAlignment="1">
      <alignment horizontal="center" vertical="top" wrapText="1"/>
    </xf>
    <xf numFmtId="0" fontId="40" fillId="0" borderId="0" xfId="0" applyFont="1" applyAlignment="1">
      <alignment horizontal="center"/>
    </xf>
    <xf numFmtId="0" fontId="0" fillId="0" borderId="0" xfId="40" applyFont="1"/>
    <xf numFmtId="0" fontId="41" fillId="0" borderId="0" xfId="40" applyFont="1"/>
    <xf numFmtId="0" fontId="12" fillId="0" borderId="0" xfId="41" applyFont="1"/>
    <xf numFmtId="0" fontId="10" fillId="0" borderId="5" xfId="20" applyFont="1" applyBorder="1" applyAlignment="1">
      <alignment horizontal="center" vertical="center" wrapText="1"/>
    </xf>
    <xf numFmtId="0" fontId="27" fillId="0" borderId="5" xfId="36" applyFont="1" applyBorder="1" applyAlignment="1">
      <alignment horizontal="center" vertical="center" textRotation="90" wrapText="1"/>
    </xf>
    <xf numFmtId="0" fontId="32" fillId="7" borderId="36" xfId="34" applyFont="1" applyFill="1" applyBorder="1" applyAlignment="1">
      <alignment horizontal="center" vertical="center" wrapText="1"/>
    </xf>
    <xf numFmtId="2" fontId="27" fillId="0" borderId="21" xfId="0" applyNumberFormat="1" applyFont="1" applyBorder="1" applyAlignment="1">
      <alignment horizontal="center" vertical="center"/>
    </xf>
    <xf numFmtId="2" fontId="26" fillId="0" borderId="21" xfId="0" applyNumberFormat="1" applyFont="1" applyBorder="1" applyAlignment="1">
      <alignment horizontal="center" vertical="center"/>
    </xf>
    <xf numFmtId="2" fontId="27" fillId="0" borderId="22" xfId="0" applyNumberFormat="1" applyFont="1" applyBorder="1" applyAlignment="1">
      <alignment horizontal="center" vertical="center"/>
    </xf>
    <xf numFmtId="4" fontId="42" fillId="0" borderId="0" xfId="20" applyNumberFormat="1" applyFont="1"/>
    <xf numFmtId="0" fontId="29" fillId="7" borderId="0" xfId="36" applyFont="1" applyFill="1" applyAlignment="1">
      <alignment horizontal="right" vertical="center"/>
    </xf>
    <xf numFmtId="0" fontId="29" fillId="0" borderId="0" xfId="36" applyFont="1" applyAlignment="1">
      <alignment horizontal="right" vertical="center"/>
    </xf>
    <xf numFmtId="4" fontId="8" fillId="3" borderId="43" xfId="20" applyNumberFormat="1" applyFill="1" applyBorder="1" applyAlignment="1">
      <alignment horizontal="center"/>
    </xf>
    <xf numFmtId="4" fontId="8" fillId="0" borderId="42" xfId="20" applyNumberFormat="1" applyBorder="1" applyAlignment="1">
      <alignment horizontal="center"/>
    </xf>
    <xf numFmtId="0" fontId="33" fillId="7" borderId="0" xfId="27" applyFont="1" applyFill="1" applyAlignment="1">
      <alignment horizontal="right"/>
    </xf>
    <xf numFmtId="4" fontId="13" fillId="7" borderId="5" xfId="40" applyNumberFormat="1" applyFont="1" applyFill="1" applyBorder="1" applyAlignment="1">
      <alignment horizontal="center" vertical="center" wrapText="1"/>
    </xf>
    <xf numFmtId="4" fontId="13" fillId="7" borderId="5" xfId="40" applyNumberFormat="1" applyFont="1" applyFill="1" applyBorder="1" applyAlignment="1">
      <alignment horizontal="center" vertical="top" wrapText="1"/>
    </xf>
    <xf numFmtId="3" fontId="8" fillId="0" borderId="32" xfId="0" applyNumberFormat="1" applyFont="1" applyBorder="1" applyAlignment="1">
      <alignment horizontal="center" vertical="center" wrapText="1"/>
    </xf>
    <xf numFmtId="0" fontId="32" fillId="7" borderId="9" xfId="34" applyFont="1" applyFill="1" applyBorder="1" applyAlignment="1">
      <alignment horizontal="center" vertical="center" wrapText="1"/>
    </xf>
    <xf numFmtId="0" fontId="48" fillId="7" borderId="9" xfId="48" applyFont="1" applyFill="1" applyBorder="1" applyAlignment="1">
      <alignment vertical="center" wrapText="1"/>
    </xf>
    <xf numFmtId="0" fontId="48" fillId="7" borderId="9" xfId="48" applyFont="1" applyFill="1" applyBorder="1" applyAlignment="1">
      <alignment horizontal="center" vertical="center"/>
    </xf>
    <xf numFmtId="2" fontId="0" fillId="7" borderId="9" xfId="0" applyNumberFormat="1" applyFill="1" applyBorder="1" applyAlignment="1">
      <alignment horizontal="center" vertical="center"/>
    </xf>
    <xf numFmtId="2" fontId="27" fillId="0" borderId="9" xfId="0" applyNumberFormat="1" applyFont="1" applyBorder="1" applyAlignment="1">
      <alignment horizontal="center" vertical="center"/>
    </xf>
    <xf numFmtId="2" fontId="26" fillId="0" borderId="9" xfId="0" applyNumberFormat="1" applyFont="1" applyBorder="1" applyAlignment="1">
      <alignment horizontal="center" vertical="center"/>
    </xf>
    <xf numFmtId="2" fontId="27" fillId="0" borderId="44" xfId="0" applyNumberFormat="1" applyFont="1" applyBorder="1" applyAlignment="1">
      <alignment horizontal="center" vertical="center"/>
    </xf>
    <xf numFmtId="0" fontId="0" fillId="9" borderId="9" xfId="0" applyFill="1" applyBorder="1" applyAlignment="1">
      <alignment horizontal="center" vertical="center" wrapText="1"/>
    </xf>
    <xf numFmtId="0" fontId="0" fillId="7" borderId="9" xfId="49" applyFont="1" applyFill="1" applyBorder="1" applyAlignment="1">
      <alignment horizontal="left" vertical="center" wrapText="1"/>
    </xf>
    <xf numFmtId="0" fontId="0" fillId="7" borderId="9" xfId="50" applyFont="1" applyFill="1" applyBorder="1" applyAlignment="1">
      <alignment horizontal="center" vertical="center" wrapText="1"/>
    </xf>
    <xf numFmtId="2" fontId="26" fillId="7" borderId="9" xfId="0" applyNumberFormat="1" applyFont="1" applyFill="1" applyBorder="1" applyAlignment="1">
      <alignment horizontal="center" vertical="center"/>
    </xf>
    <xf numFmtId="2" fontId="27" fillId="7" borderId="9" xfId="36" applyNumberFormat="1" applyFont="1" applyFill="1" applyBorder="1" applyAlignment="1">
      <alignment horizontal="center" vertical="center"/>
    </xf>
    <xf numFmtId="0" fontId="48" fillId="7" borderId="9" xfId="51" applyFont="1" applyFill="1" applyBorder="1" applyAlignment="1">
      <alignment horizontal="center"/>
    </xf>
    <xf numFmtId="0" fontId="8" fillId="7" borderId="9" xfId="50" applyFont="1" applyFill="1" applyBorder="1" applyAlignment="1">
      <alignment horizontal="center" vertical="center" wrapText="1"/>
    </xf>
    <xf numFmtId="2" fontId="27" fillId="7" borderId="9" xfId="51" applyNumberFormat="1" applyFont="1" applyFill="1" applyBorder="1" applyAlignment="1">
      <alignment horizontal="center" vertical="center"/>
    </xf>
    <xf numFmtId="0" fontId="28" fillId="7" borderId="0" xfId="51" applyFont="1" applyFill="1"/>
    <xf numFmtId="4" fontId="1" fillId="7" borderId="9" xfId="48" applyNumberFormat="1" applyFill="1" applyBorder="1" applyAlignment="1">
      <alignment horizontal="center" vertical="center" wrapText="1"/>
    </xf>
    <xf numFmtId="0" fontId="0" fillId="7" borderId="9" xfId="50" applyFont="1" applyFill="1" applyBorder="1" applyAlignment="1">
      <alignment horizontal="left" vertical="center" wrapText="1"/>
    </xf>
    <xf numFmtId="4" fontId="27" fillId="7" borderId="9" xfId="48" applyNumberFormat="1" applyFont="1" applyFill="1" applyBorder="1" applyAlignment="1">
      <alignment horizontal="center" vertical="center" wrapText="1"/>
    </xf>
    <xf numFmtId="0" fontId="44" fillId="0" borderId="0" xfId="0" applyFont="1" applyAlignment="1">
      <alignment vertical="center"/>
    </xf>
    <xf numFmtId="0" fontId="28" fillId="7" borderId="0" xfId="52" applyFont="1" applyFill="1"/>
    <xf numFmtId="3" fontId="0" fillId="0" borderId="32" xfId="0" applyNumberFormat="1" applyBorder="1" applyAlignment="1">
      <alignment horizontal="center" vertical="center" wrapText="1"/>
    </xf>
    <xf numFmtId="0" fontId="32" fillId="3" borderId="9" xfId="34" applyFont="1" applyFill="1" applyBorder="1" applyAlignment="1">
      <alignment horizontal="center" vertical="center" wrapText="1"/>
    </xf>
    <xf numFmtId="4" fontId="0" fillId="0" borderId="9" xfId="0" applyNumberFormat="1" applyBorder="1" applyAlignment="1">
      <alignment horizontal="left" vertical="center" wrapText="1"/>
    </xf>
    <xf numFmtId="4" fontId="0" fillId="0" borderId="9" xfId="0" applyNumberFormat="1" applyBorder="1" applyAlignment="1">
      <alignment horizontal="center" vertical="center" wrapText="1"/>
    </xf>
    <xf numFmtId="4" fontId="49" fillId="7" borderId="9" xfId="0" applyNumberFormat="1" applyFont="1" applyFill="1" applyBorder="1" applyAlignment="1">
      <alignment horizontal="center" vertical="center" wrapText="1"/>
    </xf>
    <xf numFmtId="2" fontId="25" fillId="7" borderId="9" xfId="0" applyNumberFormat="1" applyFont="1" applyFill="1" applyBorder="1" applyAlignment="1">
      <alignment horizontal="center" vertical="center"/>
    </xf>
    <xf numFmtId="2" fontId="48" fillId="7" borderId="9" xfId="0" applyNumberFormat="1" applyFont="1" applyFill="1" applyBorder="1" applyAlignment="1">
      <alignment horizontal="center" vertical="center"/>
    </xf>
    <xf numFmtId="2" fontId="48" fillId="7" borderId="9" xfId="53" applyNumberFormat="1" applyFont="1" applyFill="1" applyBorder="1" applyAlignment="1">
      <alignment horizontal="center" vertical="center"/>
    </xf>
    <xf numFmtId="0" fontId="28" fillId="0" borderId="6" xfId="36" applyFont="1" applyBorder="1" applyAlignment="1">
      <alignment vertical="top"/>
    </xf>
    <xf numFmtId="0" fontId="28" fillId="7" borderId="6" xfId="36" applyFont="1" applyFill="1" applyBorder="1" applyAlignment="1">
      <alignment vertical="top"/>
    </xf>
    <xf numFmtId="164" fontId="13" fillId="0" borderId="46" xfId="36" applyNumberFormat="1" applyFont="1" applyBorder="1" applyAlignment="1">
      <alignment horizontal="right" vertical="center"/>
    </xf>
    <xf numFmtId="0" fontId="27" fillId="0" borderId="27" xfId="36" applyFont="1" applyBorder="1" applyAlignment="1">
      <alignment horizontal="center" vertical="center"/>
    </xf>
    <xf numFmtId="0" fontId="27" fillId="7" borderId="28" xfId="36" applyFont="1" applyFill="1" applyBorder="1" applyAlignment="1">
      <alignment horizontal="center" vertical="center"/>
    </xf>
    <xf numFmtId="0" fontId="25" fillId="0" borderId="28" xfId="34" applyFont="1" applyBorder="1" applyAlignment="1" applyProtection="1">
      <alignment horizontal="center" vertical="center"/>
      <protection locked="0"/>
    </xf>
    <xf numFmtId="0" fontId="25" fillId="7" borderId="28" xfId="34" applyFont="1" applyFill="1" applyBorder="1" applyAlignment="1" applyProtection="1">
      <alignment horizontal="center" vertical="center"/>
      <protection locked="0"/>
    </xf>
    <xf numFmtId="2" fontId="26" fillId="7" borderId="28" xfId="36" applyNumberFormat="1" applyFont="1" applyFill="1" applyBorder="1" applyAlignment="1">
      <alignment horizontal="center" vertical="center"/>
    </xf>
    <xf numFmtId="2" fontId="27" fillId="7" borderId="28" xfId="36" applyNumberFormat="1" applyFont="1" applyFill="1" applyBorder="1" applyAlignment="1">
      <alignment horizontal="center" vertical="center"/>
    </xf>
    <xf numFmtId="2" fontId="27" fillId="0" borderId="28" xfId="36" applyNumberFormat="1" applyFont="1" applyBorder="1" applyAlignment="1">
      <alignment horizontal="center" vertical="center"/>
    </xf>
    <xf numFmtId="2" fontId="26" fillId="0" borderId="28" xfId="36" applyNumberFormat="1" applyFont="1" applyBorder="1" applyAlignment="1">
      <alignment horizontal="center" vertical="center"/>
    </xf>
    <xf numFmtId="2" fontId="27" fillId="0" borderId="31" xfId="36" applyNumberFormat="1" applyFont="1" applyBorder="1" applyAlignment="1">
      <alignment horizontal="center" vertical="center"/>
    </xf>
    <xf numFmtId="49" fontId="8" fillId="0" borderId="9" xfId="0" applyNumberFormat="1" applyFont="1" applyBorder="1" applyAlignment="1">
      <alignment horizontal="center"/>
    </xf>
    <xf numFmtId="0" fontId="8" fillId="0" borderId="9" xfId="0" applyFont="1" applyBorder="1" applyAlignment="1">
      <alignment horizontal="left" wrapText="1"/>
    </xf>
    <xf numFmtId="0" fontId="8" fillId="0" borderId="9" xfId="0" applyFont="1" applyBorder="1" applyAlignment="1">
      <alignment horizontal="left" vertical="center" wrapText="1"/>
    </xf>
    <xf numFmtId="0" fontId="27" fillId="0" borderId="47" xfId="36" applyFont="1" applyBorder="1" applyAlignment="1">
      <alignment horizontal="center" vertical="center"/>
    </xf>
    <xf numFmtId="0" fontId="27" fillId="7" borderId="48" xfId="36" applyFont="1" applyFill="1" applyBorder="1" applyAlignment="1">
      <alignment horizontal="center" vertical="center"/>
    </xf>
    <xf numFmtId="0" fontId="27" fillId="0" borderId="48" xfId="36" applyFont="1" applyBorder="1" applyAlignment="1">
      <alignment vertical="center" wrapText="1"/>
    </xf>
    <xf numFmtId="0" fontId="27" fillId="0" borderId="48" xfId="36" applyFont="1" applyBorder="1" applyAlignment="1">
      <alignment horizontal="center" vertical="center" wrapText="1"/>
    </xf>
    <xf numFmtId="2" fontId="27" fillId="0" borderId="48" xfId="36" applyNumberFormat="1" applyFont="1" applyBorder="1" applyAlignment="1">
      <alignment horizontal="center" vertical="center"/>
    </xf>
    <xf numFmtId="2" fontId="27" fillId="7" borderId="48" xfId="36" applyNumberFormat="1" applyFont="1" applyFill="1" applyBorder="1" applyAlignment="1">
      <alignment horizontal="center" vertical="center"/>
    </xf>
    <xf numFmtId="2" fontId="27" fillId="0" borderId="49" xfId="36" applyNumberFormat="1" applyFont="1" applyBorder="1" applyAlignment="1">
      <alignment horizontal="center" vertical="center"/>
    </xf>
    <xf numFmtId="2" fontId="8" fillId="0" borderId="9" xfId="0" applyNumberFormat="1" applyFont="1" applyBorder="1" applyAlignment="1">
      <alignment horizontal="center" vertical="center" wrapText="1"/>
    </xf>
    <xf numFmtId="2"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44" fillId="0" borderId="32" xfId="0" applyFont="1" applyBorder="1" applyAlignment="1">
      <alignment horizontal="center" vertical="center"/>
    </xf>
    <xf numFmtId="0" fontId="43" fillId="0" borderId="9" xfId="0" applyFont="1" applyBorder="1" applyAlignment="1">
      <alignment horizontal="center" vertical="center"/>
    </xf>
    <xf numFmtId="0" fontId="46" fillId="0" borderId="9" xfId="0" applyFont="1" applyBorder="1" applyAlignment="1">
      <alignment horizontal="center" vertical="center" wrapText="1"/>
    </xf>
    <xf numFmtId="0" fontId="47" fillId="0" borderId="9" xfId="0" applyFont="1" applyBorder="1" applyAlignment="1">
      <alignment horizontal="center" vertical="center" wrapText="1"/>
    </xf>
    <xf numFmtId="4" fontId="44" fillId="0" borderId="9" xfId="0" applyNumberFormat="1" applyFont="1" applyBorder="1" applyAlignment="1">
      <alignment horizontal="center" vertical="center"/>
    </xf>
    <xf numFmtId="4" fontId="44" fillId="0" borderId="44" xfId="0" applyNumberFormat="1" applyFont="1" applyBorder="1" applyAlignment="1">
      <alignment horizontal="center" vertical="center"/>
    </xf>
    <xf numFmtId="2" fontId="47" fillId="7" borderId="9" xfId="0" applyNumberFormat="1" applyFont="1" applyFill="1" applyBorder="1" applyAlignment="1">
      <alignment vertical="center"/>
    </xf>
    <xf numFmtId="4" fontId="0" fillId="7" borderId="9" xfId="0" applyNumberFormat="1" applyFill="1" applyBorder="1" applyAlignment="1">
      <alignment horizontal="center" vertical="center" wrapText="1"/>
    </xf>
    <xf numFmtId="4" fontId="34" fillId="7"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32" fillId="0" borderId="28" xfId="0" applyFont="1" applyBorder="1" applyAlignment="1">
      <alignment horizontal="center" vertical="center" wrapText="1"/>
    </xf>
    <xf numFmtId="0" fontId="27" fillId="0" borderId="32" xfId="36" applyFont="1" applyBorder="1" applyAlignment="1">
      <alignment horizontal="center" vertical="center"/>
    </xf>
    <xf numFmtId="0" fontId="32" fillId="0" borderId="9" xfId="0" applyFont="1" applyBorder="1" applyAlignment="1">
      <alignment horizontal="center" vertical="center" wrapText="1"/>
    </xf>
    <xf numFmtId="2" fontId="26" fillId="0" borderId="9" xfId="36" applyNumberFormat="1" applyFont="1" applyBorder="1" applyAlignment="1">
      <alignment horizontal="center" vertical="center"/>
    </xf>
    <xf numFmtId="2" fontId="27" fillId="0" borderId="9" xfId="36" applyNumberFormat="1" applyFont="1" applyBorder="1" applyAlignment="1">
      <alignment horizontal="center" vertical="center"/>
    </xf>
    <xf numFmtId="2" fontId="27" fillId="0" borderId="44" xfId="36" applyNumberFormat="1" applyFont="1" applyBorder="1" applyAlignment="1">
      <alignment horizontal="center" vertical="center"/>
    </xf>
    <xf numFmtId="0" fontId="8" fillId="0" borderId="9" xfId="50" applyFont="1" applyBorder="1" applyAlignment="1">
      <alignment horizontal="center" vertical="center"/>
    </xf>
    <xf numFmtId="0" fontId="0" fillId="9" borderId="9" xfId="50" quotePrefix="1" applyFont="1" applyFill="1" applyBorder="1" applyAlignment="1">
      <alignment horizontal="left" vertical="center" wrapText="1"/>
    </xf>
    <xf numFmtId="0" fontId="10" fillId="7" borderId="9" xfId="33" applyFont="1" applyFill="1" applyBorder="1" applyAlignment="1" applyProtection="1">
      <alignment vertical="center" wrapText="1"/>
      <protection locked="0"/>
    </xf>
    <xf numFmtId="2" fontId="27" fillId="7" borderId="9" xfId="0" applyNumberFormat="1" applyFont="1" applyFill="1" applyBorder="1" applyAlignment="1">
      <alignment horizontal="center" vertical="center"/>
    </xf>
    <xf numFmtId="2" fontId="27" fillId="7" borderId="44" xfId="0" applyNumberFormat="1" applyFont="1" applyFill="1" applyBorder="1" applyAlignment="1">
      <alignment horizontal="center" vertical="center"/>
    </xf>
    <xf numFmtId="0" fontId="8" fillId="7" borderId="9" xfId="34" applyFont="1" applyFill="1" applyBorder="1" applyAlignment="1">
      <alignment horizontal="center" vertical="center" wrapText="1"/>
    </xf>
    <xf numFmtId="0" fontId="8" fillId="7" borderId="9" xfId="50" applyFont="1" applyFill="1" applyBorder="1" applyAlignment="1">
      <alignment horizontal="center" vertical="center"/>
    </xf>
    <xf numFmtId="0" fontId="0" fillId="0" borderId="9" xfId="0" applyBorder="1" applyAlignment="1">
      <alignment wrapText="1"/>
    </xf>
    <xf numFmtId="3" fontId="0" fillId="0" borderId="47" xfId="0" applyNumberFormat="1" applyBorder="1" applyAlignment="1">
      <alignment horizontal="center" vertical="center" wrapText="1"/>
    </xf>
    <xf numFmtId="0" fontId="32" fillId="7" borderId="48" xfId="34" applyFont="1" applyFill="1" applyBorder="1" applyAlignment="1">
      <alignment horizontal="center" vertical="center" wrapText="1"/>
    </xf>
    <xf numFmtId="4" fontId="0" fillId="0" borderId="48" xfId="0" applyNumberFormat="1" applyBorder="1" applyAlignment="1">
      <alignment horizontal="left" vertical="center" wrapText="1"/>
    </xf>
    <xf numFmtId="4" fontId="0" fillId="0" borderId="48" xfId="0" applyNumberFormat="1" applyBorder="1" applyAlignment="1">
      <alignment horizontal="center" vertical="center" wrapText="1"/>
    </xf>
    <xf numFmtId="4" fontId="34" fillId="0" borderId="48" xfId="0" applyNumberFormat="1" applyFont="1" applyBorder="1" applyAlignment="1">
      <alignment horizontal="center" vertical="center" wrapText="1"/>
    </xf>
    <xf numFmtId="2" fontId="26" fillId="7" borderId="48" xfId="0" applyNumberFormat="1" applyFont="1" applyFill="1" applyBorder="1" applyAlignment="1">
      <alignment horizontal="center" vertical="center"/>
    </xf>
    <xf numFmtId="2" fontId="27" fillId="0" borderId="48" xfId="0" applyNumberFormat="1" applyFont="1" applyBorder="1" applyAlignment="1">
      <alignment horizontal="center" vertical="center"/>
    </xf>
    <xf numFmtId="2" fontId="26" fillId="0" borderId="48" xfId="0" applyNumberFormat="1" applyFont="1" applyBorder="1" applyAlignment="1">
      <alignment horizontal="center" vertical="center"/>
    </xf>
    <xf numFmtId="2" fontId="27" fillId="0" borderId="49" xfId="0" applyNumberFormat="1" applyFont="1" applyBorder="1" applyAlignment="1">
      <alignment horizontal="center" vertical="center"/>
    </xf>
    <xf numFmtId="168" fontId="0" fillId="7" borderId="9" xfId="48" applyNumberFormat="1" applyFont="1" applyFill="1" applyBorder="1" applyAlignment="1">
      <alignment horizontal="center" vertical="center"/>
    </xf>
    <xf numFmtId="2" fontId="0" fillId="7" borderId="9" xfId="50" applyNumberFormat="1" applyFont="1" applyFill="1" applyBorder="1" applyAlignment="1">
      <alignment horizontal="center" vertical="center" wrapText="1"/>
    </xf>
    <xf numFmtId="2" fontId="8" fillId="7" borderId="9" xfId="50" applyNumberFormat="1" applyFont="1" applyFill="1" applyBorder="1" applyAlignment="1">
      <alignment horizontal="center" vertical="center" wrapText="1"/>
    </xf>
    <xf numFmtId="2" fontId="25" fillId="7" borderId="9" xfId="34" applyNumberFormat="1" applyFont="1" applyFill="1" applyBorder="1" applyAlignment="1" applyProtection="1">
      <alignment horizontal="center" vertical="center"/>
      <protection locked="0"/>
    </xf>
    <xf numFmtId="4" fontId="25" fillId="7" borderId="9" xfId="0" applyNumberFormat="1" applyFont="1" applyFill="1" applyBorder="1" applyAlignment="1">
      <alignment horizontal="center" vertical="center" wrapText="1"/>
    </xf>
    <xf numFmtId="3" fontId="25" fillId="7" borderId="9" xfId="0" applyNumberFormat="1" applyFont="1" applyFill="1" applyBorder="1" applyAlignment="1">
      <alignment horizontal="center" vertical="center" wrapText="1"/>
    </xf>
    <xf numFmtId="0" fontId="44" fillId="0" borderId="9" xfId="0" applyFont="1" applyBorder="1" applyAlignment="1">
      <alignment horizontal="center" vertical="center"/>
    </xf>
    <xf numFmtId="0" fontId="43" fillId="0" borderId="9" xfId="0" applyFont="1" applyBorder="1" applyAlignment="1">
      <alignment horizontal="center" vertical="center" wrapText="1"/>
    </xf>
    <xf numFmtId="4" fontId="34" fillId="7" borderId="48" xfId="0" applyNumberFormat="1" applyFont="1" applyFill="1" applyBorder="1" applyAlignment="1">
      <alignment horizontal="center" vertical="center" wrapText="1"/>
    </xf>
    <xf numFmtId="3" fontId="25" fillId="7" borderId="11" xfId="0" applyNumberFormat="1" applyFont="1" applyFill="1" applyBorder="1" applyAlignment="1">
      <alignment horizontal="center" vertical="center" wrapText="1"/>
    </xf>
    <xf numFmtId="0" fontId="10" fillId="0" borderId="10" xfId="33" applyFont="1" applyBorder="1" applyAlignment="1" applyProtection="1">
      <alignment vertical="center" wrapText="1"/>
      <protection locked="0"/>
    </xf>
    <xf numFmtId="0" fontId="10" fillId="0" borderId="28" xfId="33" applyFont="1" applyBorder="1" applyAlignment="1" applyProtection="1">
      <alignment vertical="center" wrapText="1"/>
      <protection locked="0"/>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9" xfId="0" applyFont="1" applyBorder="1" applyAlignment="1">
      <alignment vertical="center" wrapText="1"/>
    </xf>
    <xf numFmtId="0" fontId="12" fillId="7" borderId="9" xfId="0" applyFont="1" applyFill="1" applyBorder="1" applyAlignment="1">
      <alignment vertical="center" wrapText="1"/>
    </xf>
    <xf numFmtId="0" fontId="12" fillId="7" borderId="9" xfId="0" applyFont="1" applyFill="1" applyBorder="1" applyAlignment="1">
      <alignment wrapText="1"/>
    </xf>
    <xf numFmtId="0" fontId="12" fillId="0" borderId="9" xfId="0" applyFont="1" applyBorder="1" applyAlignment="1">
      <alignment horizontal="left"/>
    </xf>
    <xf numFmtId="0" fontId="28" fillId="7" borderId="32" xfId="36" applyFont="1" applyFill="1" applyBorder="1"/>
    <xf numFmtId="0" fontId="28" fillId="7" borderId="9" xfId="36" applyFont="1" applyFill="1" applyBorder="1"/>
    <xf numFmtId="0" fontId="10" fillId="0" borderId="9" xfId="0" applyFont="1" applyBorder="1" applyAlignment="1">
      <alignment horizontal="left"/>
    </xf>
    <xf numFmtId="0" fontId="12" fillId="7" borderId="9" xfId="0" applyFont="1" applyFill="1" applyBorder="1" applyAlignment="1">
      <alignment vertical="center"/>
    </xf>
    <xf numFmtId="0" fontId="12" fillId="7" borderId="9"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32" xfId="0" applyFont="1" applyBorder="1" applyAlignment="1">
      <alignment horizontal="center"/>
    </xf>
    <xf numFmtId="0" fontId="12" fillId="0" borderId="9" xfId="0" applyFont="1" applyBorder="1" applyAlignment="1">
      <alignment horizontal="center"/>
    </xf>
    <xf numFmtId="0" fontId="10" fillId="0" borderId="9" xfId="0" applyFont="1" applyBorder="1"/>
    <xf numFmtId="4" fontId="0" fillId="0" borderId="21" xfId="0" applyNumberFormat="1" applyBorder="1" applyAlignment="1">
      <alignment horizontal="center" vertical="center" wrapText="1"/>
    </xf>
    <xf numFmtId="3" fontId="25" fillId="0" borderId="21" xfId="0" applyNumberFormat="1" applyFont="1" applyBorder="1" applyAlignment="1">
      <alignment horizontal="center" vertical="center" wrapText="1"/>
    </xf>
    <xf numFmtId="4" fontId="0" fillId="7" borderId="9" xfId="0" applyNumberFormat="1" applyFill="1" applyBorder="1" applyAlignment="1">
      <alignment horizontal="left" vertical="center" wrapText="1"/>
    </xf>
    <xf numFmtId="0" fontId="0" fillId="7" borderId="9" xfId="50" applyFont="1" applyFill="1" applyBorder="1" applyAlignment="1">
      <alignment horizontal="center" vertical="center"/>
    </xf>
    <xf numFmtId="4" fontId="55" fillId="0" borderId="0" xfId="0" applyNumberFormat="1" applyFont="1" applyAlignment="1">
      <alignment horizontal="center" vertical="center"/>
    </xf>
    <xf numFmtId="4" fontId="56" fillId="0" borderId="0" xfId="0" applyNumberFormat="1" applyFont="1" applyAlignment="1">
      <alignment horizontal="center" vertical="center"/>
    </xf>
    <xf numFmtId="4" fontId="57" fillId="0" borderId="0" xfId="0" applyNumberFormat="1" applyFont="1" applyAlignment="1">
      <alignment horizontal="center" vertical="center"/>
    </xf>
    <xf numFmtId="0" fontId="57" fillId="0" borderId="0" xfId="0" applyFont="1"/>
    <xf numFmtId="4" fontId="53" fillId="0" borderId="0" xfId="0" applyNumberFormat="1" applyFont="1" applyAlignment="1">
      <alignment horizontal="center" vertical="center"/>
    </xf>
    <xf numFmtId="0" fontId="0" fillId="7" borderId="9" xfId="50" applyFont="1" applyFill="1" applyBorder="1" applyAlignment="1">
      <alignment horizontal="right" vertical="center" wrapText="1"/>
    </xf>
    <xf numFmtId="0" fontId="0" fillId="7" borderId="9" xfId="0" applyFill="1" applyBorder="1" applyAlignment="1">
      <alignment wrapText="1"/>
    </xf>
    <xf numFmtId="0" fontId="0" fillId="7" borderId="9" xfId="0" applyFill="1" applyBorder="1" applyAlignment="1">
      <alignment horizontal="center"/>
    </xf>
    <xf numFmtId="2" fontId="0" fillId="7" borderId="9" xfId="50" applyNumberFormat="1" applyFont="1" applyFill="1" applyBorder="1" applyAlignment="1">
      <alignment horizontal="left" vertical="center" wrapText="1" indent="3"/>
    </xf>
    <xf numFmtId="2" fontId="26" fillId="7" borderId="9" xfId="36" applyNumberFormat="1" applyFont="1" applyFill="1" applyBorder="1" applyAlignment="1">
      <alignment horizontal="center" vertical="center"/>
    </xf>
    <xf numFmtId="0" fontId="51" fillId="7" borderId="9" xfId="0" applyFont="1" applyFill="1" applyBorder="1" applyAlignment="1">
      <alignment wrapText="1"/>
    </xf>
    <xf numFmtId="0" fontId="0" fillId="7" borderId="9" xfId="50" applyFont="1" applyFill="1" applyBorder="1" applyAlignment="1">
      <alignment horizontal="left" wrapText="1"/>
    </xf>
    <xf numFmtId="0" fontId="0" fillId="7" borderId="9" xfId="0" applyFill="1" applyBorder="1" applyAlignment="1">
      <alignment horizontal="center" vertical="center"/>
    </xf>
    <xf numFmtId="0" fontId="25" fillId="7" borderId="9" xfId="0" applyFont="1" applyFill="1" applyBorder="1" applyAlignment="1">
      <alignment horizontal="center" vertical="center" wrapText="1"/>
    </xf>
    <xf numFmtId="0" fontId="0" fillId="7" borderId="9" xfId="49" applyFont="1" applyFill="1" applyBorder="1" applyAlignment="1">
      <alignment horizontal="left" vertical="top" wrapText="1"/>
    </xf>
    <xf numFmtId="2" fontId="8" fillId="7" borderId="9" xfId="50" applyNumberFormat="1" applyFont="1" applyFill="1" applyBorder="1" applyAlignment="1">
      <alignment horizontal="center" vertical="center"/>
    </xf>
    <xf numFmtId="49" fontId="54" fillId="0" borderId="9" xfId="34" applyNumberFormat="1" applyFont="1" applyBorder="1" applyAlignment="1">
      <alignment horizontal="center" vertical="center"/>
    </xf>
    <xf numFmtId="2" fontId="0" fillId="7" borderId="9" xfId="0" applyNumberFormat="1" applyFill="1" applyBorder="1" applyAlignment="1">
      <alignment horizontal="center"/>
    </xf>
    <xf numFmtId="0" fontId="10" fillId="10" borderId="9" xfId="33" applyFont="1" applyFill="1" applyBorder="1" applyAlignment="1" applyProtection="1">
      <alignment vertical="center" wrapText="1"/>
      <protection locked="0"/>
    </xf>
    <xf numFmtId="0" fontId="45" fillId="3" borderId="0" xfId="40" applyFont="1" applyFill="1" applyAlignment="1">
      <alignment horizontal="left" vertical="top" wrapText="1"/>
    </xf>
    <xf numFmtId="0" fontId="11" fillId="2" borderId="1" xfId="27" applyFont="1" applyFill="1" applyBorder="1" applyAlignment="1">
      <alignment horizontal="center"/>
    </xf>
    <xf numFmtId="0" fontId="11" fillId="2" borderId="2" xfId="27" applyFont="1" applyFill="1" applyBorder="1" applyAlignment="1">
      <alignment horizontal="center"/>
    </xf>
    <xf numFmtId="0" fontId="11" fillId="2" borderId="3" xfId="27" applyFont="1" applyFill="1" applyBorder="1" applyAlignment="1">
      <alignment horizontal="center"/>
    </xf>
    <xf numFmtId="0" fontId="22" fillId="0" borderId="0" xfId="27" applyFont="1" applyAlignment="1">
      <alignment horizontal="left" vertical="center" wrapText="1"/>
    </xf>
    <xf numFmtId="0" fontId="9" fillId="0" borderId="4" xfId="40" applyFont="1" applyBorder="1" applyAlignment="1">
      <alignment horizontal="center" vertical="top" wrapText="1"/>
    </xf>
    <xf numFmtId="0" fontId="9" fillId="0" borderId="6" xfId="40" applyFont="1" applyBorder="1" applyAlignment="1">
      <alignment horizontal="center" vertical="top" wrapText="1"/>
    </xf>
    <xf numFmtId="0" fontId="9" fillId="0" borderId="5" xfId="40" applyFont="1" applyBorder="1" applyAlignment="1">
      <alignment horizontal="center" vertical="top" wrapText="1"/>
    </xf>
    <xf numFmtId="0" fontId="35" fillId="7" borderId="0" xfId="0" applyFont="1" applyFill="1" applyAlignment="1">
      <alignment horizontal="left" vertical="top" wrapText="1"/>
    </xf>
    <xf numFmtId="0" fontId="23" fillId="0" borderId="5" xfId="20" applyFont="1" applyBorder="1" applyAlignment="1">
      <alignment horizontal="justify" vertical="top" wrapText="1"/>
    </xf>
    <xf numFmtId="0" fontId="9" fillId="0" borderId="0" xfId="20" applyFont="1" applyAlignment="1">
      <alignment horizontal="left" vertical="top" wrapText="1"/>
    </xf>
    <xf numFmtId="0" fontId="10" fillId="0" borderId="5" xfId="20" applyFont="1" applyBorder="1" applyAlignment="1">
      <alignment horizontal="center"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10" fillId="0" borderId="5" xfId="20" applyFont="1" applyBorder="1" applyAlignment="1">
      <alignment horizontal="right" vertical="center" wrapText="1"/>
    </xf>
    <xf numFmtId="0" fontId="9" fillId="0" borderId="0" xfId="20" applyFont="1" applyAlignment="1">
      <alignment horizontal="right" vertical="top" wrapText="1"/>
    </xf>
    <xf numFmtId="0" fontId="14" fillId="0" borderId="0" xfId="0" applyFont="1" applyAlignment="1">
      <alignment horizontal="center"/>
    </xf>
    <xf numFmtId="0" fontId="24" fillId="0" borderId="33" xfId="20" applyFont="1" applyBorder="1" applyAlignment="1">
      <alignment horizontal="center" vertical="top" wrapText="1"/>
    </xf>
    <xf numFmtId="0" fontId="24" fillId="0" borderId="34" xfId="20" applyFont="1" applyBorder="1" applyAlignment="1">
      <alignment horizontal="center" vertical="top" wrapText="1"/>
    </xf>
    <xf numFmtId="0" fontId="10" fillId="0" borderId="0" xfId="20" applyFont="1" applyAlignment="1">
      <alignment horizontal="center" vertical="top" wrapText="1"/>
    </xf>
    <xf numFmtId="0" fontId="10" fillId="0" borderId="8" xfId="20" applyFont="1" applyBorder="1" applyAlignment="1">
      <alignment horizontal="center" vertical="top" wrapText="1"/>
    </xf>
    <xf numFmtId="0" fontId="23" fillId="0" borderId="29" xfId="20" applyFont="1" applyBorder="1" applyAlignment="1">
      <alignment horizontal="center" vertical="top" wrapText="1"/>
    </xf>
    <xf numFmtId="0" fontId="23" fillId="0" borderId="30" xfId="20" applyFont="1" applyBorder="1" applyAlignment="1">
      <alignment horizontal="center" vertical="top" wrapText="1"/>
    </xf>
    <xf numFmtId="0" fontId="14" fillId="5" borderId="1" xfId="20" applyFont="1" applyFill="1" applyBorder="1" applyAlignment="1">
      <alignment horizontal="center"/>
    </xf>
    <xf numFmtId="0" fontId="14" fillId="5" borderId="2" xfId="20" applyFont="1" applyFill="1" applyBorder="1" applyAlignment="1">
      <alignment horizontal="center"/>
    </xf>
    <xf numFmtId="0" fontId="14" fillId="5" borderId="3" xfId="20" applyFont="1" applyFill="1" applyBorder="1" applyAlignment="1">
      <alignment horizontal="center"/>
    </xf>
    <xf numFmtId="0" fontId="9" fillId="0" borderId="0" xfId="20" applyFont="1" applyAlignment="1">
      <alignment horizontal="right" vertical="center" wrapText="1"/>
    </xf>
    <xf numFmtId="0" fontId="10" fillId="0" borderId="23" xfId="20" applyFont="1" applyBorder="1" applyAlignment="1">
      <alignment horizontal="center" vertical="center" wrapText="1"/>
    </xf>
    <xf numFmtId="0" fontId="10" fillId="0" borderId="24" xfId="20" applyFont="1" applyBorder="1" applyAlignment="1">
      <alignment horizontal="center" vertical="center" wrapText="1"/>
    </xf>
    <xf numFmtId="0" fontId="10" fillId="0" borderId="25" xfId="20" applyFont="1" applyBorder="1" applyAlignment="1">
      <alignment horizontal="center" vertical="center" wrapText="1"/>
    </xf>
    <xf numFmtId="0" fontId="10" fillId="0" borderId="26" xfId="20" applyFont="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xf>
    <xf numFmtId="0" fontId="28" fillId="0" borderId="5" xfId="36" applyFont="1" applyBorder="1" applyAlignment="1">
      <alignment horizontal="center" vertical="center"/>
    </xf>
    <xf numFmtId="0" fontId="0" fillId="0" borderId="0" xfId="0" applyAlignment="1">
      <alignment horizontal="left" vertical="center" wrapText="1"/>
    </xf>
    <xf numFmtId="0" fontId="27" fillId="0" borderId="5" xfId="36" applyFont="1" applyBorder="1" applyAlignment="1">
      <alignment horizontal="center" vertical="center" textRotation="90"/>
    </xf>
    <xf numFmtId="0" fontId="27" fillId="7" borderId="4" xfId="36" applyFont="1" applyFill="1" applyBorder="1" applyAlignment="1">
      <alignment horizontal="center" vertical="center" textRotation="90"/>
    </xf>
    <xf numFmtId="0" fontId="27" fillId="7" borderId="6" xfId="36" applyFont="1" applyFill="1" applyBorder="1" applyAlignment="1">
      <alignment horizontal="center" vertical="center" textRotation="90"/>
    </xf>
    <xf numFmtId="0" fontId="28" fillId="0" borderId="5" xfId="36" applyFont="1" applyBorder="1" applyAlignment="1">
      <alignment horizontal="center" vertical="center" wrapText="1"/>
    </xf>
    <xf numFmtId="0" fontId="27" fillId="0" borderId="5" xfId="36" applyFont="1" applyBorder="1" applyAlignment="1">
      <alignment horizontal="center" vertical="center" textRotation="90" wrapText="1"/>
    </xf>
    <xf numFmtId="0" fontId="13" fillId="0" borderId="19" xfId="36" applyFont="1" applyBorder="1" applyAlignment="1">
      <alignment horizontal="right" vertical="center" wrapText="1"/>
    </xf>
    <xf numFmtId="0" fontId="13" fillId="0" borderId="20" xfId="36" applyFont="1" applyBorder="1" applyAlignment="1">
      <alignment horizontal="right" vertical="center" wrapText="1"/>
    </xf>
    <xf numFmtId="0" fontId="29" fillId="0" borderId="0" xfId="36" applyFont="1" applyAlignment="1">
      <alignment horizontal="center" vertical="center"/>
    </xf>
    <xf numFmtId="0" fontId="27" fillId="0" borderId="0" xfId="36" applyFont="1" applyAlignment="1">
      <alignment horizontal="left" vertical="center" wrapText="1"/>
    </xf>
    <xf numFmtId="0" fontId="29" fillId="0" borderId="0" xfId="36" applyFont="1" applyAlignment="1">
      <alignment horizontal="left" vertical="center"/>
    </xf>
    <xf numFmtId="0" fontId="27" fillId="0" borderId="4" xfId="36" applyFont="1" applyBorder="1" applyAlignment="1">
      <alignment horizontal="center" vertical="center" textRotation="90"/>
    </xf>
    <xf numFmtId="0" fontId="27" fillId="0" borderId="6" xfId="36" applyFont="1" applyBorder="1" applyAlignment="1">
      <alignment horizontal="center" vertical="center" textRotation="90"/>
    </xf>
    <xf numFmtId="0" fontId="13" fillId="0" borderId="45" xfId="36" applyFont="1" applyBorder="1" applyAlignment="1">
      <alignment horizontal="right" vertical="center" wrapText="1"/>
    </xf>
    <xf numFmtId="0" fontId="13" fillId="0" borderId="46" xfId="36" applyFont="1" applyBorder="1" applyAlignment="1">
      <alignment horizontal="right" vertical="center" wrapText="1"/>
    </xf>
    <xf numFmtId="0" fontId="13" fillId="0" borderId="50" xfId="36" applyFont="1" applyBorder="1" applyAlignment="1">
      <alignment horizontal="right" vertical="center" wrapText="1"/>
    </xf>
    <xf numFmtId="0" fontId="13" fillId="0" borderId="51" xfId="36" applyFont="1" applyBorder="1" applyAlignment="1">
      <alignment horizontal="right" vertical="center" wrapText="1"/>
    </xf>
    <xf numFmtId="0" fontId="13" fillId="0" borderId="52" xfId="36" applyFont="1" applyBorder="1" applyAlignment="1">
      <alignment horizontal="right" vertical="center" wrapText="1"/>
    </xf>
    <xf numFmtId="0" fontId="0" fillId="0" borderId="9" xfId="0" applyFont="1" applyBorder="1" applyAlignment="1">
      <alignment horizontal="left" vertical="center" wrapText="1"/>
    </xf>
  </cellXfs>
  <cellStyles count="55">
    <cellStyle name="Comma 2" xfId="2" xr:uid="{00000000-0005-0000-0000-000000000000}"/>
    <cellStyle name="Comma 2 2" xfId="3" xr:uid="{00000000-0005-0000-0000-000001000000}"/>
    <cellStyle name="Comma 2 3" xfId="4" xr:uid="{00000000-0005-0000-0000-000002000000}"/>
    <cellStyle name="Comma 2 3 2" xfId="5" xr:uid="{00000000-0005-0000-0000-000003000000}"/>
    <cellStyle name="Comma 3" xfId="6" xr:uid="{00000000-0005-0000-0000-000004000000}"/>
    <cellStyle name="Comma 4" xfId="7" xr:uid="{00000000-0005-0000-0000-000005000000}"/>
    <cellStyle name="Comma 5" xfId="37" xr:uid="{00000000-0005-0000-0000-000006000000}"/>
    <cellStyle name="Comma 5 2" xfId="44" xr:uid="{00000000-0005-0000-0000-000007000000}"/>
    <cellStyle name="Date" xfId="8" xr:uid="{00000000-0005-0000-0000-000008000000}"/>
    <cellStyle name="Excel Built-in Normal" xfId="42" xr:uid="{00000000-0005-0000-0000-000009000000}"/>
    <cellStyle name="Fixed" xfId="9" xr:uid="{00000000-0005-0000-0000-00000A000000}"/>
    <cellStyle name="Heading1" xfId="10" xr:uid="{00000000-0005-0000-0000-00000B000000}"/>
    <cellStyle name="Heading2" xfId="11" xr:uid="{00000000-0005-0000-0000-00000C000000}"/>
    <cellStyle name="Normal 10" xfId="12" xr:uid="{00000000-0005-0000-0000-00000E000000}"/>
    <cellStyle name="Normal 10 2" xfId="13" xr:uid="{00000000-0005-0000-0000-00000F000000}"/>
    <cellStyle name="Normal 10 3" xfId="14" xr:uid="{00000000-0005-0000-0000-000010000000}"/>
    <cellStyle name="Normal 10 3 2" xfId="15" xr:uid="{00000000-0005-0000-0000-000011000000}"/>
    <cellStyle name="Normal 10 3 3" xfId="16" xr:uid="{00000000-0005-0000-0000-000012000000}"/>
    <cellStyle name="Normal 10 3 4" xfId="17" xr:uid="{00000000-0005-0000-0000-000013000000}"/>
    <cellStyle name="Normal 10 4" xfId="45" xr:uid="{00000000-0005-0000-0000-000014000000}"/>
    <cellStyle name="Normal 10 4 2 2" xfId="48" xr:uid="{66E9A169-D27E-44B9-83E7-3EC63BC94DC0}"/>
    <cellStyle name="Normal 11" xfId="18" xr:uid="{00000000-0005-0000-0000-000015000000}"/>
    <cellStyle name="Normal 12" xfId="36" xr:uid="{00000000-0005-0000-0000-000016000000}"/>
    <cellStyle name="Normal 12 2" xfId="41" xr:uid="{00000000-0005-0000-0000-000017000000}"/>
    <cellStyle name="Normal 12 2 2" xfId="51" xr:uid="{63DBB33E-1521-4810-8B03-5995AC4F771C}"/>
    <cellStyle name="Normal 12 2 2 2 2 2 3" xfId="52" xr:uid="{C538C2C4-1956-48EA-B137-EC76C4CACE79}"/>
    <cellStyle name="Normal 12 3 2 2" xfId="53" xr:uid="{CE1BF515-6DBD-4A56-AD08-E11F7FF4F877}"/>
    <cellStyle name="Normal 13" xfId="46" xr:uid="{857EE179-CAB0-4D93-A846-EDCBA3DC95A4}"/>
    <cellStyle name="Normal 14" xfId="54" xr:uid="{84A2FC62-BF0D-43A7-8BC9-23FA7995109E}"/>
    <cellStyle name="Normal 15" xfId="43" xr:uid="{00000000-0005-0000-0000-000018000000}"/>
    <cellStyle name="Normal 16 2" xfId="50" xr:uid="{F859BA85-39B9-44D4-A7FC-5ACB9778D88D}"/>
    <cellStyle name="Normal 2" xfId="19" xr:uid="{00000000-0005-0000-0000-000019000000}"/>
    <cellStyle name="Normal 2 2" xfId="20" xr:uid="{00000000-0005-0000-0000-00001A000000}"/>
    <cellStyle name="Normal 2 2 2" xfId="21" xr:uid="{00000000-0005-0000-0000-00001B000000}"/>
    <cellStyle name="Normal 2 2_OlainesPP_Magonite_08_12_1(no groz)" xfId="22" xr:uid="{00000000-0005-0000-0000-00001C000000}"/>
    <cellStyle name="Normal 2 3" xfId="23" xr:uid="{00000000-0005-0000-0000-00001D000000}"/>
    <cellStyle name="Normal 2 3 2" xfId="24" xr:uid="{00000000-0005-0000-0000-00001E000000}"/>
    <cellStyle name="Normal 3" xfId="25" xr:uid="{00000000-0005-0000-0000-00001F000000}"/>
    <cellStyle name="Normal 4" xfId="26" xr:uid="{00000000-0005-0000-0000-000020000000}"/>
    <cellStyle name="Normal 5" xfId="1" xr:uid="{00000000-0005-0000-0000-000021000000}"/>
    <cellStyle name="Normal 5 2" xfId="27" xr:uid="{00000000-0005-0000-0000-000022000000}"/>
    <cellStyle name="Normal 5 2 2" xfId="38" xr:uid="{00000000-0005-0000-0000-000023000000}"/>
    <cellStyle name="Normal 5 2 3" xfId="40" xr:uid="{00000000-0005-0000-0000-000024000000}"/>
    <cellStyle name="Normal 5 2 3 2" xfId="47" xr:uid="{CE31AAE6-5814-4FD5-AD24-1B49BC951930}"/>
    <cellStyle name="Normal 5 3" xfId="28" xr:uid="{00000000-0005-0000-0000-000025000000}"/>
    <cellStyle name="Normal 6" xfId="29" xr:uid="{00000000-0005-0000-0000-000026000000}"/>
    <cellStyle name="Normal 7" xfId="30" xr:uid="{00000000-0005-0000-0000-000027000000}"/>
    <cellStyle name="Normal 8" xfId="31" xr:uid="{00000000-0005-0000-0000-000028000000}"/>
    <cellStyle name="Normal 9" xfId="32" xr:uid="{00000000-0005-0000-0000-000029000000}"/>
    <cellStyle name="Normal_Būvdarbi 2" xfId="49" xr:uid="{31E7BE25-C49F-47D4-BC24-89CF83A3CD76}"/>
    <cellStyle name="Normal_SandisP_rem_07" xfId="33" xr:uid="{00000000-0005-0000-0000-00002A000000}"/>
    <cellStyle name="Parasts" xfId="0" builtinId="0"/>
    <cellStyle name="Style 1" xfId="34" xr:uid="{00000000-0005-0000-0000-00002B000000}"/>
    <cellStyle name="Обычный_Jelgava 1.internatskola tame (version 1)" xfId="39" xr:uid="{00000000-0005-0000-0000-00002C000000}"/>
    <cellStyle name="Стиль 1" xfId="3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257;risButkevi&#269;s\AppData\Local\Microsoft\Olk\Attachments\ooa-e6adf934-236b-4dc2-999b-30b2882f3eca\e5a0642385c17670df665109188fdb72c1d61d29fa5a74c84c98e2a71e0a0359\ROBUSTUS_Lici_26.3_5apjomi.xlsx" TargetMode="External"/><Relationship Id="rId1" Type="http://schemas.openxmlformats.org/officeDocument/2006/relationships/externalLinkPath" Target="/Users/M&#257;risButkevi&#269;s/AppData/Local/Microsoft/Olk/Attachments/ooa-e6adf934-236b-4dc2-999b-30b2882f3eca/e5a0642385c17670df665109188fdb72c1d61d29fa5a74c84c98e2a71e0a0359/ROBUSTUS_Lici_26.3_5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 val="Taul4"/>
      <sheetName val="Sat,rād_12"/>
      <sheetName val="_veids211"/>
      <sheetName val="kops2"/>
      <sheetName val="2,2"/>
      <sheetName val="Sat,rād_13"/>
      <sheetName val="_veids212"/>
      <sheetName val="Sat,rād_14"/>
      <sheetName val="_veids213"/>
      <sheetName val="Sat,rād_16"/>
      <sheetName val="_veids215"/>
      <sheetName val="Sat,rād_15"/>
      <sheetName val="_veids214"/>
      <sheetName val="Sat,rād_17"/>
      <sheetName val="_veids216"/>
      <sheetName val="Sat,rād_18"/>
      <sheetName val="_veids217"/>
      <sheetName val="Sat,rād_19"/>
      <sheetName val="_veids218"/>
      <sheetName val="Sat,rād_20"/>
      <sheetName val="_veids219"/>
      <sheetName val="3-1"/>
      <sheetName val="3-2"/>
      <sheetName val="3-3"/>
      <sheetName val="3-4"/>
      <sheetName val="3-5"/>
      <sheetName val="3-6"/>
      <sheetName val="3-7"/>
      <sheetName val="3-8"/>
      <sheetName val="3-9"/>
      <sheetName val="5-1"/>
      <sheetName val="5-5"/>
      <sheetName val="2k.1-1"/>
      <sheetName val="2k.1-2"/>
      <sheetName val="Sat,rād_22"/>
      <sheetName val="_veids221"/>
      <sheetName val="Sat,rād_21"/>
      <sheetName val="_veids220"/>
      <sheetName val="Sat,rād_23"/>
      <sheetName val="_veids222"/>
      <sheetName val="Sat,rād_24"/>
      <sheetName val="_veids223"/>
      <sheetName val="Sat,rād_25"/>
      <sheetName val="_veids224"/>
      <sheetName val="Sat,rād_32"/>
      <sheetName val="_veids231"/>
      <sheetName val="Sat,rād_27"/>
      <sheetName val="_veids226"/>
      <sheetName val="Sat,rād_26"/>
      <sheetName val="_veids225"/>
      <sheetName val="Sat,rād_30"/>
      <sheetName val="_veids229"/>
      <sheetName val="Sat,rād_29"/>
      <sheetName val="_veids228"/>
      <sheetName val="Sat,rād_28"/>
      <sheetName val="_veids227"/>
      <sheetName val="Sat,rād_31"/>
      <sheetName val="_veids230"/>
      <sheetName val="2k_1-1"/>
      <sheetName val="2k_1-2"/>
      <sheetName val="2k_1-11"/>
      <sheetName val="2k_1-21"/>
      <sheetName val="Sat,rād_33"/>
      <sheetName val="_veids232"/>
      <sheetName val="Sat,rād_34"/>
      <sheetName val="_veids233"/>
      <sheetName val="2k_1-12"/>
      <sheetName val="2k_1-22"/>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optame"/>
      <sheetName val="kops1"/>
      <sheetName val="1,1"/>
      <sheetName val="1,2"/>
      <sheetName val="1,3"/>
      <sheetName val="kops2"/>
      <sheetName val="2,1"/>
      <sheetName val="2,2"/>
      <sheetName val="kops3"/>
      <sheetName val="3,1"/>
      <sheetName val="3,2"/>
      <sheetName val="kops4"/>
      <sheetName val="4,1"/>
    </sheetNames>
    <sheetDataSet>
      <sheetData sheetId="0">
        <row r="11">
          <cell r="C11" t="str">
            <v>Jaunlopu kūts</v>
          </cell>
        </row>
        <row r="12">
          <cell r="C12" t="str">
            <v>Esošā šķūņa demontāža,jaunas jaunlopu kūts būvniecība un ceļu un laukumu izbūve īpašumā “Līci”,Sarkaņu pag.,Madonas nov.</v>
          </cell>
        </row>
        <row r="13">
          <cell r="C13" t="str">
            <v>“Līci”,Sarkaņu pag.,Madonas nov.</v>
          </cell>
        </row>
        <row r="14">
          <cell r="B14" t="str">
            <v>Pasūtījuma Nr.</v>
          </cell>
          <cell r="C14" t="str">
            <v xml:space="preserve"> L-25-10-45</v>
          </cell>
        </row>
        <row r="16">
          <cell r="D16" t="str">
            <v>Tāme sastādīta:  202_.gada _____________</v>
          </cell>
        </row>
        <row r="17">
          <cell r="B17" t="str">
            <v>Tāme sastādīta 202_.gada tirgus cenās, pamatojoties uz būvprojekta rasējumiem un darbu apjomiem</v>
          </cell>
        </row>
        <row r="39">
          <cell r="B39" t="str">
            <v>Pārbaudīja:</v>
          </cell>
        </row>
      </sheetData>
      <sheetData sheetId="1"/>
      <sheetData sheetId="2"/>
      <sheetData sheetId="3"/>
      <sheetData sheetId="4"/>
      <sheetData sheetId="5">
        <row r="22">
          <cell r="C22" t="str">
            <v>Iekšējā elektroapgāde</v>
          </cell>
        </row>
      </sheetData>
      <sheetData sheetId="6">
        <row r="25">
          <cell r="A25" t="str">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ell>
          <cell r="B25"/>
          <cell r="C25"/>
          <cell r="D25"/>
          <cell r="E25"/>
          <cell r="F25"/>
          <cell r="G25"/>
        </row>
        <row r="26">
          <cell r="A26"/>
        </row>
      </sheetData>
      <sheetData sheetId="7"/>
      <sheetData sheetId="8">
        <row r="22">
          <cell r="C22" t="str">
            <v>Ārējā elektroapgāde 1. kārta</v>
          </cell>
        </row>
      </sheetData>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E45"/>
  <sheetViews>
    <sheetView showZeros="0" view="pageBreakPreview" topLeftCell="A16" zoomScaleNormal="100" zoomScaleSheetLayoutView="100" workbookViewId="0">
      <selection activeCell="C24" sqref="C24"/>
    </sheetView>
  </sheetViews>
  <sheetFormatPr defaultColWidth="9.109375" defaultRowHeight="14.4" x14ac:dyDescent="0.3"/>
  <cols>
    <col min="1" max="1" width="2.21875" style="11" customWidth="1"/>
    <col min="2" max="2" width="26.109375" style="5" customWidth="1"/>
    <col min="3" max="3" width="42" style="5" customWidth="1"/>
    <col min="4" max="4" width="20.33203125" style="5" customWidth="1"/>
    <col min="5" max="5" width="9.109375" style="5"/>
    <col min="6" max="16384" width="9.109375" style="11"/>
  </cols>
  <sheetData>
    <row r="1" spans="2:4" x14ac:dyDescent="0.3">
      <c r="D1" s="6"/>
    </row>
    <row r="2" spans="2:4" ht="15.6" x14ac:dyDescent="0.3">
      <c r="D2" s="7" t="s">
        <v>0</v>
      </c>
    </row>
    <row r="3" spans="2:4" ht="15.6" x14ac:dyDescent="0.3">
      <c r="D3" s="7" t="s">
        <v>1</v>
      </c>
    </row>
    <row r="4" spans="2:4" x14ac:dyDescent="0.3">
      <c r="D4" s="6" t="s">
        <v>2</v>
      </c>
    </row>
    <row r="5" spans="2:4" ht="15.6" x14ac:dyDescent="0.3">
      <c r="D5" s="7"/>
    </row>
    <row r="6" spans="2:4" ht="15.6" x14ac:dyDescent="0.3">
      <c r="D6" s="7" t="s">
        <v>3</v>
      </c>
    </row>
    <row r="7" spans="2:4" ht="15.6" x14ac:dyDescent="0.3">
      <c r="D7" s="7" t="s">
        <v>4</v>
      </c>
    </row>
    <row r="8" spans="2:4" ht="15.6" x14ac:dyDescent="0.3">
      <c r="B8" s="8"/>
    </row>
    <row r="9" spans="2:4" ht="21" x14ac:dyDescent="0.4">
      <c r="B9" s="284" t="s">
        <v>5</v>
      </c>
      <c r="C9" s="285"/>
      <c r="D9" s="286"/>
    </row>
    <row r="10" spans="2:4" ht="15.6" x14ac:dyDescent="0.3">
      <c r="D10" s="7"/>
    </row>
    <row r="11" spans="2:4" ht="15.6" x14ac:dyDescent="0.3">
      <c r="B11" s="9" t="s">
        <v>9</v>
      </c>
      <c r="C11" s="287" t="s">
        <v>88</v>
      </c>
      <c r="D11" s="287"/>
    </row>
    <row r="12" spans="2:4" ht="52.35" customHeight="1" x14ac:dyDescent="0.3">
      <c r="B12" s="9" t="s">
        <v>27</v>
      </c>
      <c r="C12" s="287" t="s">
        <v>94</v>
      </c>
      <c r="D12" s="287"/>
    </row>
    <row r="13" spans="2:4" ht="15.6" x14ac:dyDescent="0.3">
      <c r="B13" s="9" t="s">
        <v>10</v>
      </c>
      <c r="C13" s="287" t="s">
        <v>73</v>
      </c>
      <c r="D13" s="287"/>
    </row>
    <row r="14" spans="2:4" ht="15.6" x14ac:dyDescent="0.3">
      <c r="B14" s="88" t="s">
        <v>30</v>
      </c>
      <c r="C14" s="291" t="s">
        <v>74</v>
      </c>
      <c r="D14" s="291"/>
    </row>
    <row r="15" spans="2:4" ht="15.6" x14ac:dyDescent="0.3">
      <c r="D15" s="7"/>
    </row>
    <row r="16" spans="2:4" x14ac:dyDescent="0.3">
      <c r="D16" s="10" t="s">
        <v>276</v>
      </c>
    </row>
    <row r="17" spans="2:5" ht="15.6" x14ac:dyDescent="0.3">
      <c r="B17" s="141" t="s">
        <v>72</v>
      </c>
    </row>
    <row r="18" spans="2:5" s="116" customFormat="1" x14ac:dyDescent="0.3">
      <c r="B18" s="288" t="s">
        <v>36</v>
      </c>
      <c r="C18" s="290" t="s">
        <v>6</v>
      </c>
      <c r="D18" s="288" t="s">
        <v>54</v>
      </c>
      <c r="E18" s="100"/>
    </row>
    <row r="19" spans="2:5" s="116" customFormat="1" ht="19.649999999999999" customHeight="1" x14ac:dyDescent="0.3">
      <c r="B19" s="289"/>
      <c r="C19" s="290"/>
      <c r="D19" s="289"/>
      <c r="E19" s="100"/>
    </row>
    <row r="20" spans="2:5" s="116" customFormat="1" x14ac:dyDescent="0.3">
      <c r="B20" s="102"/>
      <c r="C20" s="103"/>
      <c r="D20" s="104"/>
      <c r="E20" s="100"/>
    </row>
    <row r="21" spans="2:5" s="116" customFormat="1" x14ac:dyDescent="0.3">
      <c r="B21" s="105">
        <v>1</v>
      </c>
      <c r="C21" s="106" t="s">
        <v>31</v>
      </c>
      <c r="D21" s="142">
        <f>kops1!E29</f>
        <v>0</v>
      </c>
      <c r="E21" s="100"/>
    </row>
    <row r="22" spans="2:5" s="116" customFormat="1" x14ac:dyDescent="0.3">
      <c r="B22" s="105">
        <v>2</v>
      </c>
      <c r="C22" s="106" t="s">
        <v>42</v>
      </c>
      <c r="D22" s="142">
        <f>kops2!E28</f>
        <v>0</v>
      </c>
      <c r="E22" s="100"/>
    </row>
    <row r="23" spans="2:5" s="116" customFormat="1" x14ac:dyDescent="0.3">
      <c r="B23" s="105">
        <v>3</v>
      </c>
      <c r="C23" s="106" t="s">
        <v>43</v>
      </c>
      <c r="D23" s="142">
        <f>kops3!E27</f>
        <v>0</v>
      </c>
      <c r="E23" s="100"/>
    </row>
    <row r="24" spans="2:5" s="116" customFormat="1" x14ac:dyDescent="0.3">
      <c r="B24" s="107">
        <v>4</v>
      </c>
      <c r="C24" s="108" t="s">
        <v>37</v>
      </c>
      <c r="D24" s="143">
        <f>kops4!E27</f>
        <v>0</v>
      </c>
      <c r="E24" s="100"/>
    </row>
    <row r="25" spans="2:5" s="1" customFormat="1" ht="15.6" x14ac:dyDescent="0.25">
      <c r="B25" s="109"/>
      <c r="C25" s="110" t="s">
        <v>7</v>
      </c>
      <c r="D25" s="111">
        <f>SUM(D20:D24)</f>
        <v>0</v>
      </c>
    </row>
    <row r="26" spans="2:5" s="116" customFormat="1" ht="16.8" x14ac:dyDescent="0.3">
      <c r="B26" s="113"/>
      <c r="C26" s="113"/>
      <c r="D26" s="114"/>
      <c r="E26" s="115"/>
    </row>
    <row r="27" spans="2:5" s="116" customFormat="1" ht="16.8" x14ac:dyDescent="0.3">
      <c r="B27" s="113"/>
      <c r="C27" s="113"/>
      <c r="D27" s="114"/>
      <c r="E27" s="115"/>
    </row>
    <row r="28" spans="2:5" s="1" customFormat="1" ht="15" x14ac:dyDescent="0.25">
      <c r="B28" s="109"/>
      <c r="C28" s="112" t="s">
        <v>38</v>
      </c>
      <c r="D28" s="111">
        <f>0.21*D25</f>
        <v>0</v>
      </c>
    </row>
    <row r="29" spans="2:5" s="116" customFormat="1" ht="16.8" x14ac:dyDescent="0.3">
      <c r="B29" s="113"/>
      <c r="C29" s="113"/>
      <c r="D29" s="114"/>
      <c r="E29" s="115"/>
    </row>
    <row r="30" spans="2:5" s="116" customFormat="1" ht="57.6" customHeight="1" x14ac:dyDescent="0.3">
      <c r="B30" s="283" t="s">
        <v>87</v>
      </c>
      <c r="C30" s="283"/>
      <c r="D30" s="283"/>
      <c r="E30" s="115"/>
    </row>
    <row r="31" spans="2:5" s="116" customFormat="1" ht="16.8" x14ac:dyDescent="0.3">
      <c r="B31" s="113"/>
      <c r="C31" s="113"/>
      <c r="D31" s="114"/>
      <c r="E31" s="115"/>
    </row>
    <row r="32" spans="2:5" s="116" customFormat="1" x14ac:dyDescent="0.3">
      <c r="B32" s="117"/>
      <c r="C32" s="100"/>
      <c r="D32" s="118"/>
      <c r="E32" s="100"/>
    </row>
    <row r="33" spans="2:5" s="1" customFormat="1" ht="13.8" x14ac:dyDescent="0.25">
      <c r="B33" s="2" t="s">
        <v>8</v>
      </c>
      <c r="C33" s="3"/>
      <c r="D33" s="99"/>
    </row>
    <row r="34" spans="2:5" s="1" customFormat="1" ht="13.8" x14ac:dyDescent="0.25">
      <c r="B34" s="3"/>
      <c r="C34" s="121"/>
      <c r="D34" s="121"/>
      <c r="E34" s="121"/>
    </row>
    <row r="35" spans="2:5" s="1" customFormat="1" ht="13.8" x14ac:dyDescent="0.25">
      <c r="B35" s="2"/>
      <c r="C35" s="120"/>
      <c r="D35" s="86"/>
      <c r="E35" s="86"/>
    </row>
    <row r="36" spans="2:5" s="1" customFormat="1" ht="13.8" x14ac:dyDescent="0.25">
      <c r="B36" s="2"/>
      <c r="C36" s="120"/>
      <c r="D36" s="86"/>
      <c r="E36" s="86"/>
    </row>
    <row r="37" spans="2:5" s="1" customFormat="1" ht="13.8" x14ac:dyDescent="0.25">
      <c r="B37" s="2"/>
      <c r="C37" s="120"/>
      <c r="D37" s="86"/>
      <c r="E37" s="86"/>
    </row>
    <row r="38" spans="2:5" s="1" customFormat="1" ht="13.8" x14ac:dyDescent="0.25">
      <c r="B38" s="4"/>
      <c r="D38" s="120"/>
      <c r="E38" s="120"/>
    </row>
    <row r="39" spans="2:5" s="116" customFormat="1" x14ac:dyDescent="0.3">
      <c r="B39" s="2" t="s">
        <v>35</v>
      </c>
      <c r="C39" s="128"/>
      <c r="D39" s="100"/>
      <c r="E39" s="100"/>
    </row>
    <row r="40" spans="2:5" s="1" customFormat="1" ht="13.8" x14ac:dyDescent="0.25">
      <c r="B40" s="3"/>
      <c r="C40" s="125"/>
      <c r="D40" s="121"/>
      <c r="E40" s="121"/>
    </row>
    <row r="41" spans="2:5" s="1" customFormat="1" ht="13.8" x14ac:dyDescent="0.25">
      <c r="B41" s="2"/>
      <c r="C41" s="120"/>
      <c r="D41" s="86"/>
      <c r="E41" s="86"/>
    </row>
    <row r="42" spans="2:5" s="116" customFormat="1" x14ac:dyDescent="0.3">
      <c r="B42" s="127"/>
      <c r="C42" s="100"/>
      <c r="D42" s="100"/>
      <c r="E42" s="100"/>
    </row>
    <row r="43" spans="2:5" x14ac:dyDescent="0.3">
      <c r="B43" s="2"/>
      <c r="C43" s="128"/>
    </row>
    <row r="44" spans="2:5" x14ac:dyDescent="0.3">
      <c r="B44" s="3"/>
      <c r="C44" s="125"/>
    </row>
    <row r="45" spans="2:5" x14ac:dyDescent="0.3">
      <c r="C45" s="126"/>
    </row>
  </sheetData>
  <mergeCells count="9">
    <mergeCell ref="B30:D30"/>
    <mergeCell ref="B9:D9"/>
    <mergeCell ref="C12:D12"/>
    <mergeCell ref="B18:B19"/>
    <mergeCell ref="C18:C19"/>
    <mergeCell ref="D18:D19"/>
    <mergeCell ref="C11:D11"/>
    <mergeCell ref="C13:D13"/>
    <mergeCell ref="C14:D14"/>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P38"/>
  <sheetViews>
    <sheetView showZeros="0" view="pageBreakPreview" topLeftCell="A12" zoomScale="85" zoomScaleNormal="80" zoomScaleSheetLayoutView="85" workbookViewId="0">
      <selection activeCell="C13" sqref="C13"/>
    </sheetView>
  </sheetViews>
  <sheetFormatPr defaultColWidth="9.109375" defaultRowHeight="13.8" x14ac:dyDescent="0.25"/>
  <cols>
    <col min="1" max="1" width="9" style="15" customWidth="1"/>
    <col min="2" max="2" width="9.33203125" style="45" customWidth="1"/>
    <col min="3" max="3" width="40.21875" style="15" customWidth="1"/>
    <col min="4" max="4" width="8.109375" style="15" customWidth="1"/>
    <col min="5" max="5" width="9.109375" style="15"/>
    <col min="6" max="7" width="9.109375" style="45"/>
    <col min="8" max="11" width="9.109375" style="15"/>
    <col min="12" max="12" width="14.33203125" style="15" customWidth="1"/>
    <col min="13" max="13" width="12.21875" style="15" customWidth="1"/>
    <col min="14" max="14" width="12.77734375" style="15" customWidth="1"/>
    <col min="15" max="15" width="11.6640625" style="15" customWidth="1"/>
    <col min="16" max="16" width="13.6640625" style="15" customWidth="1"/>
    <col min="17" max="16384" width="9.109375" style="15"/>
  </cols>
  <sheetData>
    <row r="1" spans="1:16" s="20" customFormat="1" x14ac:dyDescent="0.25">
      <c r="B1" s="42"/>
      <c r="E1" s="17"/>
      <c r="F1" s="95"/>
      <c r="G1" s="138" t="s">
        <v>60</v>
      </c>
      <c r="H1" s="98" t="str">
        <f>kops3!B21</f>
        <v>3,1</v>
      </c>
    </row>
    <row r="2" spans="1:16" s="20" customFormat="1" x14ac:dyDescent="0.25">
      <c r="A2" s="325" t="str">
        <f>C13</f>
        <v>Ārējā ūdensapgāde, kanalizācija</v>
      </c>
      <c r="B2" s="325"/>
      <c r="C2" s="325"/>
      <c r="D2" s="325"/>
      <c r="E2" s="325"/>
      <c r="F2" s="325"/>
      <c r="G2" s="325"/>
      <c r="H2" s="325"/>
      <c r="I2" s="325"/>
      <c r="J2" s="325"/>
      <c r="K2" s="325"/>
      <c r="L2" s="325"/>
      <c r="M2" s="325"/>
      <c r="N2" s="325"/>
      <c r="O2" s="325"/>
      <c r="P2" s="325"/>
    </row>
    <row r="3" spans="1:16" x14ac:dyDescent="0.25">
      <c r="A3" s="16"/>
      <c r="B3" s="89"/>
      <c r="C3" s="16" t="s">
        <v>11</v>
      </c>
      <c r="D3" s="327" t="str">
        <f>Koptame!C11</f>
        <v>Jaunlopu kūts</v>
      </c>
      <c r="E3" s="327"/>
      <c r="F3" s="327"/>
      <c r="G3" s="327"/>
      <c r="H3" s="327"/>
      <c r="I3" s="327"/>
      <c r="J3" s="327"/>
      <c r="K3" s="327"/>
      <c r="L3" s="327"/>
      <c r="M3" s="327"/>
      <c r="N3" s="327"/>
      <c r="O3" s="327"/>
      <c r="P3" s="327"/>
    </row>
    <row r="4" spans="1:16" x14ac:dyDescent="0.25">
      <c r="A4" s="16"/>
      <c r="B4" s="89"/>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89"/>
      <c r="C5" s="16" t="s">
        <v>13</v>
      </c>
      <c r="D5" s="327" t="str">
        <f>Koptame!C13</f>
        <v>“Līci”,Sarkaņu pag.,Madonas nov.</v>
      </c>
      <c r="E5" s="327"/>
      <c r="F5" s="327"/>
      <c r="G5" s="327"/>
      <c r="H5" s="327"/>
      <c r="I5" s="327"/>
      <c r="J5" s="327"/>
      <c r="K5" s="327"/>
      <c r="L5" s="327"/>
      <c r="M5" s="327"/>
      <c r="N5" s="327"/>
      <c r="O5" s="327"/>
      <c r="P5" s="327"/>
    </row>
    <row r="6" spans="1:16" x14ac:dyDescent="0.25">
      <c r="A6" s="16"/>
      <c r="B6" s="89"/>
      <c r="C6" s="16" t="str">
        <f>Koptame!B14</f>
        <v>Pasūtījuma Nr.</v>
      </c>
      <c r="D6" s="18" t="str">
        <f>Koptame!C14</f>
        <v xml:space="preserve"> L-25-10-45</v>
      </c>
      <c r="E6" s="37"/>
      <c r="F6" s="43"/>
      <c r="G6" s="43"/>
      <c r="H6" s="37"/>
      <c r="I6" s="37"/>
      <c r="J6" s="37"/>
      <c r="K6" s="37"/>
      <c r="L6" s="37"/>
      <c r="M6" s="37"/>
      <c r="N6" s="37"/>
      <c r="O6" s="37"/>
      <c r="P6" s="21"/>
    </row>
    <row r="7" spans="1:16" x14ac:dyDescent="0.25">
      <c r="A7" s="3" t="str">
        <f>Koptame!B17</f>
        <v>Tāme sastādīta 202_.gada tirgus cenās, pamatojoties uz būvprojekta rasējumiem un darbu apjomiem</v>
      </c>
      <c r="B7" s="90"/>
      <c r="D7" s="18"/>
      <c r="E7" s="18"/>
      <c r="F7" s="44"/>
      <c r="G7" s="44"/>
      <c r="H7" s="18"/>
      <c r="I7" s="18"/>
      <c r="J7" s="18"/>
      <c r="K7" s="37"/>
      <c r="L7" s="37"/>
      <c r="M7" s="37"/>
      <c r="N7" s="37"/>
      <c r="O7" s="16" t="s">
        <v>59</v>
      </c>
      <c r="P7" s="22">
        <f>P28</f>
        <v>0</v>
      </c>
    </row>
    <row r="8" spans="1:16" x14ac:dyDescent="0.25">
      <c r="A8" s="19"/>
      <c r="B8" s="89"/>
      <c r="D8" s="23"/>
      <c r="E8" s="37"/>
      <c r="F8" s="43"/>
      <c r="G8" s="43"/>
      <c r="H8" s="37"/>
      <c r="I8" s="37"/>
      <c r="J8" s="37"/>
      <c r="K8" s="37"/>
      <c r="N8" s="37"/>
      <c r="O8" s="37"/>
      <c r="P8" s="21"/>
    </row>
    <row r="9" spans="1:16" ht="15.3" customHeight="1" x14ac:dyDescent="0.25">
      <c r="A9" s="39"/>
      <c r="B9" s="91"/>
      <c r="J9" s="38"/>
      <c r="K9" s="38"/>
      <c r="L9" s="326" t="str">
        <f>Koptame!D16</f>
        <v>Tāme sastādīta:  2026.gada 8.Aprīlī</v>
      </c>
      <c r="M9" s="326"/>
      <c r="N9" s="326"/>
      <c r="O9" s="326"/>
      <c r="P9" s="38"/>
    </row>
    <row r="10" spans="1:16" ht="15" x14ac:dyDescent="0.25">
      <c r="A10" s="39"/>
      <c r="B10" s="91"/>
    </row>
    <row r="11" spans="1:16" ht="14.25" customHeight="1" x14ac:dyDescent="0.25">
      <c r="A11" s="318" t="s">
        <v>15</v>
      </c>
      <c r="B11" s="319" t="s">
        <v>21</v>
      </c>
      <c r="C11" s="321" t="s">
        <v>64</v>
      </c>
      <c r="D11" s="322" t="s">
        <v>22</v>
      </c>
      <c r="E11" s="318" t="s">
        <v>23</v>
      </c>
      <c r="F11" s="316" t="s">
        <v>24</v>
      </c>
      <c r="G11" s="316"/>
      <c r="H11" s="316"/>
      <c r="I11" s="316"/>
      <c r="J11" s="316"/>
      <c r="K11" s="316"/>
      <c r="L11" s="316" t="s">
        <v>25</v>
      </c>
      <c r="M11" s="316"/>
      <c r="N11" s="316"/>
      <c r="O11" s="316"/>
      <c r="P11" s="316"/>
    </row>
    <row r="12" spans="1:16" ht="73.5" customHeight="1" x14ac:dyDescent="0.25">
      <c r="A12" s="318"/>
      <c r="B12" s="320"/>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178"/>
      <c r="C13" s="243" t="str">
        <f>kops3!C21</f>
        <v>Ārējā ūdensapgāde, kanalizācija</v>
      </c>
      <c r="D13" s="179"/>
      <c r="E13" s="180"/>
      <c r="F13" s="181"/>
      <c r="G13" s="182"/>
      <c r="H13" s="182"/>
      <c r="I13" s="183"/>
      <c r="J13" s="183"/>
      <c r="K13" s="183">
        <f t="shared" ref="K13" si="0">SUM(H13:J13)</f>
        <v>0</v>
      </c>
      <c r="L13" s="184">
        <f t="shared" ref="L13" si="1">ROUND(F13*E13,2)</f>
        <v>0</v>
      </c>
      <c r="M13" s="183">
        <f t="shared" ref="M13" si="2">ROUND(H13*E13,2)</f>
        <v>0</v>
      </c>
      <c r="N13" s="183">
        <f t="shared" ref="N13" si="3">ROUND(I13*E13,2)</f>
        <v>0</v>
      </c>
      <c r="O13" s="183">
        <f t="shared" ref="O13" si="4">ROUND(J13*E13,2)</f>
        <v>0</v>
      </c>
      <c r="P13" s="185">
        <f t="shared" ref="P13" si="5">SUM(M13:O13)</f>
        <v>0</v>
      </c>
    </row>
    <row r="14" spans="1:16" s="45" customFormat="1" x14ac:dyDescent="0.25">
      <c r="A14" s="166">
        <v>1</v>
      </c>
      <c r="B14" s="186"/>
      <c r="C14" s="188" t="s">
        <v>188</v>
      </c>
      <c r="D14" s="198" t="s">
        <v>75</v>
      </c>
      <c r="E14" s="197">
        <f>182.45</f>
        <v>182.45</v>
      </c>
      <c r="F14" s="155"/>
      <c r="G14" s="155"/>
      <c r="H14" s="156"/>
      <c r="I14" s="156"/>
      <c r="J14" s="156"/>
      <c r="K14" s="149">
        <f>SUM(H14:J14)</f>
        <v>0</v>
      </c>
      <c r="L14" s="150">
        <f>ROUND(F14*E14,2)</f>
        <v>0</v>
      </c>
      <c r="M14" s="149">
        <f>ROUND(H14*E14,2)</f>
        <v>0</v>
      </c>
      <c r="N14" s="149">
        <f>ROUND(I14*E14,2)</f>
        <v>0</v>
      </c>
      <c r="O14" s="149">
        <f>ROUND(J14*E14,2)</f>
        <v>0</v>
      </c>
      <c r="P14" s="151">
        <f>SUM(M14:O14)</f>
        <v>0</v>
      </c>
    </row>
    <row r="15" spans="1:16" s="45" customFormat="1" ht="39.6" x14ac:dyDescent="0.25">
      <c r="A15" s="166">
        <v>2</v>
      </c>
      <c r="B15" s="186"/>
      <c r="C15" s="188" t="s">
        <v>189</v>
      </c>
      <c r="D15" s="198" t="s">
        <v>190</v>
      </c>
      <c r="E15" s="197">
        <f>(E14-42.5)*1.5</f>
        <v>209.92499999999998</v>
      </c>
      <c r="F15" s="155"/>
      <c r="G15" s="155"/>
      <c r="H15" s="156"/>
      <c r="I15" s="156"/>
      <c r="J15" s="156"/>
      <c r="K15" s="149">
        <f t="shared" ref="K15:K26" si="6">SUM(H15:J15)</f>
        <v>0</v>
      </c>
      <c r="L15" s="150">
        <f>ROUND(F15*E15,2)</f>
        <v>0</v>
      </c>
      <c r="M15" s="149">
        <f t="shared" ref="M15:M26" si="7">ROUND(H15*E15,2)</f>
        <v>0</v>
      </c>
      <c r="N15" s="149">
        <f t="shared" ref="N15:N26" si="8">ROUND(I15*E15,2)</f>
        <v>0</v>
      </c>
      <c r="O15" s="149">
        <f t="shared" ref="O15:O26" si="9">ROUND(J15*E15,2)</f>
        <v>0</v>
      </c>
      <c r="P15" s="151">
        <f t="shared" ref="P15:P26" si="10">SUM(M15:O15)</f>
        <v>0</v>
      </c>
    </row>
    <row r="16" spans="1:16" s="45" customFormat="1" ht="39.6" x14ac:dyDescent="0.25">
      <c r="A16" s="166">
        <v>3</v>
      </c>
      <c r="B16" s="186"/>
      <c r="C16" s="188" t="s">
        <v>191</v>
      </c>
      <c r="D16" s="198" t="s">
        <v>190</v>
      </c>
      <c r="E16" s="197">
        <f>(42.5)*1.5</f>
        <v>63.75</v>
      </c>
      <c r="F16" s="155"/>
      <c r="G16" s="155"/>
      <c r="H16" s="156"/>
      <c r="I16" s="156"/>
      <c r="J16" s="156"/>
      <c r="K16" s="149">
        <f t="shared" si="6"/>
        <v>0</v>
      </c>
      <c r="L16" s="150">
        <f t="shared" ref="L16:L26" si="11">ROUND(F16*E16,2)</f>
        <v>0</v>
      </c>
      <c r="M16" s="149">
        <f t="shared" si="7"/>
        <v>0</v>
      </c>
      <c r="N16" s="149">
        <f t="shared" si="8"/>
        <v>0</v>
      </c>
      <c r="O16" s="149">
        <f t="shared" si="9"/>
        <v>0</v>
      </c>
      <c r="P16" s="151">
        <f t="shared" si="10"/>
        <v>0</v>
      </c>
    </row>
    <row r="17" spans="1:16" s="45" customFormat="1" ht="32.85" customHeight="1" x14ac:dyDescent="0.25">
      <c r="A17" s="166">
        <v>4</v>
      </c>
      <c r="B17" s="186"/>
      <c r="C17" s="188" t="s">
        <v>192</v>
      </c>
      <c r="D17" s="198" t="s">
        <v>193</v>
      </c>
      <c r="E17" s="197">
        <f>1.5*E14*2</f>
        <v>547.34999999999991</v>
      </c>
      <c r="F17" s="155"/>
      <c r="G17" s="155"/>
      <c r="H17" s="156"/>
      <c r="I17" s="156"/>
      <c r="J17" s="156"/>
      <c r="K17" s="149">
        <f t="shared" si="6"/>
        <v>0</v>
      </c>
      <c r="L17" s="150">
        <f t="shared" si="11"/>
        <v>0</v>
      </c>
      <c r="M17" s="149">
        <f t="shared" si="7"/>
        <v>0</v>
      </c>
      <c r="N17" s="149">
        <f t="shared" si="8"/>
        <v>0</v>
      </c>
      <c r="O17" s="149">
        <f t="shared" si="9"/>
        <v>0</v>
      </c>
      <c r="P17" s="151">
        <f t="shared" si="10"/>
        <v>0</v>
      </c>
    </row>
    <row r="18" spans="1:16" s="45" customFormat="1" ht="26.4" x14ac:dyDescent="0.25">
      <c r="A18" s="166">
        <v>5</v>
      </c>
      <c r="B18" s="186"/>
      <c r="C18" s="188" t="s">
        <v>194</v>
      </c>
      <c r="D18" s="198" t="s">
        <v>195</v>
      </c>
      <c r="E18" s="197">
        <v>4</v>
      </c>
      <c r="F18" s="155"/>
      <c r="G18" s="155"/>
      <c r="H18" s="156"/>
      <c r="I18" s="156"/>
      <c r="J18" s="156"/>
      <c r="K18" s="149">
        <f t="shared" si="6"/>
        <v>0</v>
      </c>
      <c r="L18" s="150">
        <f t="shared" si="11"/>
        <v>0</v>
      </c>
      <c r="M18" s="149">
        <f t="shared" si="7"/>
        <v>0</v>
      </c>
      <c r="N18" s="149">
        <f t="shared" si="8"/>
        <v>0</v>
      </c>
      <c r="O18" s="149">
        <f t="shared" si="9"/>
        <v>0</v>
      </c>
      <c r="P18" s="151">
        <f t="shared" si="10"/>
        <v>0</v>
      </c>
    </row>
    <row r="19" spans="1:16" s="45" customFormat="1" ht="26.4" x14ac:dyDescent="0.25">
      <c r="A19" s="166">
        <v>6</v>
      </c>
      <c r="B19" s="186"/>
      <c r="C19" s="188" t="s">
        <v>196</v>
      </c>
      <c r="D19" s="197" t="s">
        <v>75</v>
      </c>
      <c r="E19" s="197">
        <f>E14</f>
        <v>182.45</v>
      </c>
      <c r="F19" s="155"/>
      <c r="G19" s="155"/>
      <c r="H19" s="156"/>
      <c r="I19" s="156"/>
      <c r="J19" s="156"/>
      <c r="K19" s="149">
        <f t="shared" si="6"/>
        <v>0</v>
      </c>
      <c r="L19" s="150">
        <f t="shared" si="11"/>
        <v>0</v>
      </c>
      <c r="M19" s="149">
        <f t="shared" si="7"/>
        <v>0</v>
      </c>
      <c r="N19" s="149">
        <f t="shared" si="8"/>
        <v>0</v>
      </c>
      <c r="O19" s="149">
        <f t="shared" si="9"/>
        <v>0</v>
      </c>
      <c r="P19" s="151">
        <f t="shared" si="10"/>
        <v>0</v>
      </c>
    </row>
    <row r="20" spans="1:16" s="45" customFormat="1" ht="39.6" x14ac:dyDescent="0.25">
      <c r="A20" s="166">
        <v>7</v>
      </c>
      <c r="B20" s="186"/>
      <c r="C20" s="188" t="s">
        <v>197</v>
      </c>
      <c r="D20" s="197" t="s">
        <v>75</v>
      </c>
      <c r="E20" s="197">
        <f>E14</f>
        <v>182.45</v>
      </c>
      <c r="F20" s="155"/>
      <c r="G20" s="155"/>
      <c r="H20" s="156"/>
      <c r="I20" s="156"/>
      <c r="J20" s="156"/>
      <c r="K20" s="149">
        <f t="shared" si="6"/>
        <v>0</v>
      </c>
      <c r="L20" s="150">
        <f t="shared" si="11"/>
        <v>0</v>
      </c>
      <c r="M20" s="149">
        <f t="shared" si="7"/>
        <v>0</v>
      </c>
      <c r="N20" s="149">
        <f t="shared" si="8"/>
        <v>0</v>
      </c>
      <c r="O20" s="149">
        <f t="shared" si="9"/>
        <v>0</v>
      </c>
      <c r="P20" s="151">
        <f t="shared" si="10"/>
        <v>0</v>
      </c>
    </row>
    <row r="21" spans="1:16" s="45" customFormat="1" ht="26.4" x14ac:dyDescent="0.25">
      <c r="A21" s="166">
        <v>8</v>
      </c>
      <c r="B21" s="186"/>
      <c r="C21" s="188" t="s">
        <v>198</v>
      </c>
      <c r="D21" s="198" t="s">
        <v>193</v>
      </c>
      <c r="E21" s="197">
        <f>(E14*0.15*1.5)+(E14*(0.04+0.15)*1.5)-(E14*0.001)</f>
        <v>92.867049999999992</v>
      </c>
      <c r="F21" s="155"/>
      <c r="G21" s="155"/>
      <c r="H21" s="156"/>
      <c r="I21" s="156"/>
      <c r="J21" s="156"/>
      <c r="K21" s="149">
        <f t="shared" si="6"/>
        <v>0</v>
      </c>
      <c r="L21" s="150">
        <f t="shared" si="11"/>
        <v>0</v>
      </c>
      <c r="M21" s="149">
        <f t="shared" si="7"/>
        <v>0</v>
      </c>
      <c r="N21" s="149">
        <f t="shared" si="8"/>
        <v>0</v>
      </c>
      <c r="O21" s="149">
        <f t="shared" si="9"/>
        <v>0</v>
      </c>
      <c r="P21" s="151">
        <f t="shared" si="10"/>
        <v>0</v>
      </c>
    </row>
    <row r="22" spans="1:16" s="45" customFormat="1" ht="26.4" x14ac:dyDescent="0.25">
      <c r="A22" s="166">
        <v>9</v>
      </c>
      <c r="B22" s="186"/>
      <c r="C22" s="188" t="s">
        <v>199</v>
      </c>
      <c r="D22" s="198" t="s">
        <v>75</v>
      </c>
      <c r="E22" s="197">
        <f>182.45</f>
        <v>182.45</v>
      </c>
      <c r="F22" s="155"/>
      <c r="G22" s="155"/>
      <c r="H22" s="156"/>
      <c r="I22" s="156"/>
      <c r="J22" s="156"/>
      <c r="K22" s="149">
        <f t="shared" si="6"/>
        <v>0</v>
      </c>
      <c r="L22" s="150">
        <f t="shared" si="11"/>
        <v>0</v>
      </c>
      <c r="M22" s="149">
        <f t="shared" si="7"/>
        <v>0</v>
      </c>
      <c r="N22" s="149">
        <f t="shared" si="8"/>
        <v>0</v>
      </c>
      <c r="O22" s="149">
        <f t="shared" si="9"/>
        <v>0</v>
      </c>
      <c r="P22" s="151">
        <f t="shared" si="10"/>
        <v>0</v>
      </c>
    </row>
    <row r="23" spans="1:16" s="45" customFormat="1" ht="52.8" x14ac:dyDescent="0.25">
      <c r="A23" s="166">
        <v>10</v>
      </c>
      <c r="B23" s="186"/>
      <c r="C23" s="188" t="s">
        <v>200</v>
      </c>
      <c r="D23" s="198" t="s">
        <v>195</v>
      </c>
      <c r="E23" s="197">
        <v>1</v>
      </c>
      <c r="F23" s="155"/>
      <c r="G23" s="155"/>
      <c r="H23" s="156"/>
      <c r="I23" s="156"/>
      <c r="J23" s="156"/>
      <c r="K23" s="149">
        <f t="shared" si="6"/>
        <v>0</v>
      </c>
      <c r="L23" s="150">
        <f t="shared" si="11"/>
        <v>0</v>
      </c>
      <c r="M23" s="149">
        <f t="shared" si="7"/>
        <v>0</v>
      </c>
      <c r="N23" s="149">
        <f t="shared" si="8"/>
        <v>0</v>
      </c>
      <c r="O23" s="149">
        <f t="shared" si="9"/>
        <v>0</v>
      </c>
      <c r="P23" s="151">
        <f t="shared" si="10"/>
        <v>0</v>
      </c>
    </row>
    <row r="24" spans="1:16" s="45" customFormat="1" x14ac:dyDescent="0.25">
      <c r="A24" s="166">
        <v>11</v>
      </c>
      <c r="B24" s="186"/>
      <c r="C24" s="188" t="s">
        <v>201</v>
      </c>
      <c r="D24" s="198" t="s">
        <v>193</v>
      </c>
      <c r="E24" s="197">
        <f>E17-E21</f>
        <v>454.4829499999999</v>
      </c>
      <c r="F24" s="155"/>
      <c r="G24" s="155"/>
      <c r="H24" s="156"/>
      <c r="I24" s="156"/>
      <c r="J24" s="156"/>
      <c r="K24" s="149">
        <f t="shared" si="6"/>
        <v>0</v>
      </c>
      <c r="L24" s="150">
        <f t="shared" si="11"/>
        <v>0</v>
      </c>
      <c r="M24" s="149">
        <f t="shared" si="7"/>
        <v>0</v>
      </c>
      <c r="N24" s="149">
        <f t="shared" si="8"/>
        <v>0</v>
      </c>
      <c r="O24" s="149">
        <f t="shared" si="9"/>
        <v>0</v>
      </c>
      <c r="P24" s="151">
        <f t="shared" si="10"/>
        <v>0</v>
      </c>
    </row>
    <row r="25" spans="1:16" s="45" customFormat="1" x14ac:dyDescent="0.25">
      <c r="A25" s="166">
        <v>12</v>
      </c>
      <c r="B25" s="186"/>
      <c r="C25" s="188" t="s">
        <v>202</v>
      </c>
      <c r="D25" s="198" t="s">
        <v>193</v>
      </c>
      <c r="E25" s="197">
        <f>E21</f>
        <v>92.867049999999992</v>
      </c>
      <c r="F25" s="155"/>
      <c r="G25" s="155"/>
      <c r="H25" s="156"/>
      <c r="I25" s="156"/>
      <c r="J25" s="156"/>
      <c r="K25" s="149">
        <f t="shared" si="6"/>
        <v>0</v>
      </c>
      <c r="L25" s="150">
        <f t="shared" si="11"/>
        <v>0</v>
      </c>
      <c r="M25" s="149">
        <f t="shared" si="7"/>
        <v>0</v>
      </c>
      <c r="N25" s="149">
        <f t="shared" si="8"/>
        <v>0</v>
      </c>
      <c r="O25" s="149">
        <f t="shared" si="9"/>
        <v>0</v>
      </c>
      <c r="P25" s="151">
        <f t="shared" si="10"/>
        <v>0</v>
      </c>
    </row>
    <row r="26" spans="1:16" s="45" customFormat="1" ht="39.6" x14ac:dyDescent="0.25">
      <c r="A26" s="166">
        <v>13</v>
      </c>
      <c r="B26" s="186"/>
      <c r="C26" s="188" t="s">
        <v>203</v>
      </c>
      <c r="D26" s="198" t="s">
        <v>204</v>
      </c>
      <c r="E26" s="197">
        <v>1</v>
      </c>
      <c r="F26" s="155"/>
      <c r="G26" s="155"/>
      <c r="H26" s="156"/>
      <c r="I26" s="156"/>
      <c r="J26" s="156"/>
      <c r="K26" s="149">
        <f t="shared" si="6"/>
        <v>0</v>
      </c>
      <c r="L26" s="150">
        <f t="shared" si="11"/>
        <v>0</v>
      </c>
      <c r="M26" s="149">
        <f t="shared" si="7"/>
        <v>0</v>
      </c>
      <c r="N26" s="149">
        <f t="shared" si="8"/>
        <v>0</v>
      </c>
      <c r="O26" s="149">
        <f t="shared" si="9"/>
        <v>0</v>
      </c>
      <c r="P26" s="151">
        <f t="shared" si="10"/>
        <v>0</v>
      </c>
    </row>
    <row r="27" spans="1:16" x14ac:dyDescent="0.25">
      <c r="A27" s="189"/>
      <c r="B27" s="190"/>
      <c r="C27" s="191"/>
      <c r="D27" s="192"/>
      <c r="E27" s="193"/>
      <c r="F27" s="194">
        <v>0</v>
      </c>
      <c r="G27" s="194">
        <v>0</v>
      </c>
      <c r="H27" s="194"/>
      <c r="I27" s="193"/>
      <c r="J27" s="193"/>
      <c r="K27" s="193"/>
      <c r="L27" s="193"/>
      <c r="M27" s="193"/>
      <c r="N27" s="193"/>
      <c r="O27" s="193"/>
      <c r="P27" s="195"/>
    </row>
    <row r="28" spans="1:16" ht="15.3" customHeight="1" x14ac:dyDescent="0.25">
      <c r="A28" s="174"/>
      <c r="B28" s="175"/>
      <c r="C28" s="330" t="s">
        <v>71</v>
      </c>
      <c r="D28" s="331"/>
      <c r="E28" s="331"/>
      <c r="F28" s="331"/>
      <c r="G28" s="331"/>
      <c r="H28" s="331"/>
      <c r="I28" s="331"/>
      <c r="J28" s="331"/>
      <c r="K28" s="331"/>
      <c r="L28" s="176">
        <f>SUM(L13:L27)</f>
        <v>0</v>
      </c>
      <c r="M28" s="176">
        <f>SUM(M13:M27)</f>
        <v>0</v>
      </c>
      <c r="N28" s="176">
        <f>SUM(N13:N27)</f>
        <v>0</v>
      </c>
      <c r="O28" s="176">
        <f>SUM(O13:O27)</f>
        <v>0</v>
      </c>
      <c r="P28" s="176">
        <f>SUM(P13:P27)</f>
        <v>0</v>
      </c>
    </row>
    <row r="29" spans="1:16" s="101" customFormat="1" x14ac:dyDescent="0.25">
      <c r="I29" s="122"/>
    </row>
    <row r="30" spans="1:16" customFormat="1" ht="12.75" customHeight="1" x14ac:dyDescent="0.25">
      <c r="B30" s="123" t="s">
        <v>41</v>
      </c>
    </row>
    <row r="31" spans="1:16" customFormat="1" ht="45" customHeight="1" x14ac:dyDescent="0.25">
      <c r="A31" s="317" t="str">
        <f>'2,1'!A25:G25</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1" s="317"/>
      <c r="C31" s="317"/>
      <c r="D31" s="317"/>
      <c r="E31" s="317"/>
      <c r="F31" s="317"/>
      <c r="G31" s="317"/>
      <c r="H31" s="317"/>
      <c r="I31" s="317"/>
      <c r="J31" s="317"/>
      <c r="K31" s="317"/>
      <c r="L31" s="317"/>
      <c r="M31" s="317"/>
      <c r="N31" s="317"/>
      <c r="O31" s="317"/>
      <c r="P31" s="317"/>
    </row>
    <row r="32" spans="1:16" customFormat="1" ht="68.25" customHeight="1" x14ac:dyDescent="0.25">
      <c r="A32" s="317">
        <f>'2,1'!$A$26</f>
        <v>0</v>
      </c>
      <c r="B32" s="317"/>
      <c r="C32" s="317"/>
      <c r="D32" s="317"/>
      <c r="E32" s="317"/>
      <c r="F32" s="317"/>
      <c r="G32" s="317"/>
      <c r="H32" s="317"/>
      <c r="I32" s="317"/>
      <c r="J32" s="317"/>
      <c r="K32" s="317"/>
      <c r="L32" s="317"/>
      <c r="M32" s="317"/>
      <c r="N32" s="317"/>
      <c r="O32" s="317"/>
      <c r="P32" s="317"/>
    </row>
    <row r="33" spans="2:16" customFormat="1" ht="12.75" customHeight="1" x14ac:dyDescent="0.25">
      <c r="B33" s="124"/>
    </row>
    <row r="34" spans="2:16" customFormat="1" ht="12.75" customHeight="1" x14ac:dyDescent="0.25">
      <c r="B34" s="124"/>
    </row>
    <row r="35" spans="2:16" s="101" customFormat="1" x14ac:dyDescent="0.25">
      <c r="B35" s="101" t="s">
        <v>8</v>
      </c>
      <c r="L35" s="129" t="str">
        <f>Koptame!B39</f>
        <v>Pārbaudīja:</v>
      </c>
      <c r="M35" s="129"/>
      <c r="N35" s="129"/>
      <c r="O35" s="129"/>
      <c r="P35" s="129"/>
    </row>
    <row r="36" spans="2:16" s="101" customFormat="1" x14ac:dyDescent="0.25">
      <c r="C36" s="121">
        <f>Koptame!C34</f>
        <v>0</v>
      </c>
      <c r="L36" s="121"/>
      <c r="M36" s="314">
        <f>Koptame!C40</f>
        <v>0</v>
      </c>
      <c r="N36" s="314"/>
      <c r="O36" s="129"/>
      <c r="P36" s="129"/>
    </row>
    <row r="37" spans="2:16" s="101" customFormat="1" x14ac:dyDescent="0.25">
      <c r="C37" s="120">
        <f>Koptame!C35</f>
        <v>0</v>
      </c>
      <c r="L37" s="120"/>
      <c r="M37" s="315">
        <f>Koptame!C41</f>
        <v>0</v>
      </c>
      <c r="N37" s="315"/>
      <c r="O37" s="129"/>
      <c r="P37" s="129"/>
    </row>
    <row r="38" spans="2:16" s="101" customFormat="1" collapsed="1" x14ac:dyDescent="0.25">
      <c r="B38" s="122"/>
      <c r="F38" s="122"/>
      <c r="G38" s="122"/>
    </row>
  </sheetData>
  <mergeCells count="17">
    <mergeCell ref="A2:P2"/>
    <mergeCell ref="D3:P3"/>
    <mergeCell ref="D4:P4"/>
    <mergeCell ref="D5:P5"/>
    <mergeCell ref="L9:O9"/>
    <mergeCell ref="F11:K11"/>
    <mergeCell ref="L11:P11"/>
    <mergeCell ref="C28:K28"/>
    <mergeCell ref="M37:N37"/>
    <mergeCell ref="M36:N36"/>
    <mergeCell ref="A32:P32"/>
    <mergeCell ref="A31:P31"/>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2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E304-8E9C-455C-9B77-73ED05B0A21F}">
  <sheetPr>
    <tabColor rgb="FF92D050"/>
  </sheetPr>
  <dimension ref="A1:P52"/>
  <sheetViews>
    <sheetView view="pageBreakPreview" zoomScale="60" zoomScaleNormal="70" workbookViewId="0">
      <selection activeCell="C13" sqref="C13"/>
    </sheetView>
  </sheetViews>
  <sheetFormatPr defaultRowHeight="13.2" x14ac:dyDescent="0.25"/>
  <cols>
    <col min="1" max="1" width="9" customWidth="1"/>
    <col min="2" max="2" width="9.33203125" customWidth="1"/>
    <col min="3" max="3" width="40.21875" customWidth="1"/>
    <col min="4" max="4" width="8.109375" customWidth="1"/>
    <col min="12" max="12" width="14.33203125" customWidth="1"/>
    <col min="13" max="13" width="12.21875" customWidth="1"/>
    <col min="14" max="14" width="12.77734375" customWidth="1"/>
    <col min="15" max="15" width="11.6640625" customWidth="1"/>
    <col min="16" max="16" width="13.6640625" customWidth="1"/>
  </cols>
  <sheetData>
    <row r="1" spans="1:16" ht="13.8" x14ac:dyDescent="0.25">
      <c r="A1" s="20"/>
      <c r="B1" s="42"/>
      <c r="C1" s="20"/>
      <c r="D1" s="20"/>
      <c r="E1" s="17"/>
      <c r="F1" s="95"/>
      <c r="G1" s="138" t="s">
        <v>60</v>
      </c>
      <c r="H1" s="98" t="s">
        <v>242</v>
      </c>
      <c r="I1" s="20"/>
      <c r="J1" s="20"/>
      <c r="K1" s="20"/>
      <c r="L1" s="20"/>
      <c r="M1" s="20"/>
      <c r="N1" s="20"/>
      <c r="O1" s="20"/>
      <c r="P1" s="20"/>
    </row>
    <row r="2" spans="1:16" ht="13.8" x14ac:dyDescent="0.25">
      <c r="A2" s="325" t="str">
        <f>C13</f>
        <v>Ārējā elektroapgāde 1. kārta</v>
      </c>
      <c r="B2" s="325"/>
      <c r="C2" s="325"/>
      <c r="D2" s="325"/>
      <c r="E2" s="325"/>
      <c r="F2" s="325"/>
      <c r="G2" s="325"/>
      <c r="H2" s="325"/>
      <c r="I2" s="325"/>
      <c r="J2" s="325"/>
      <c r="K2" s="325"/>
      <c r="L2" s="325"/>
      <c r="M2" s="325"/>
      <c r="N2" s="325"/>
      <c r="O2" s="325"/>
      <c r="P2" s="325"/>
    </row>
    <row r="3" spans="1:16" ht="13.8" x14ac:dyDescent="0.25">
      <c r="A3" s="16"/>
      <c r="B3" s="89"/>
      <c r="C3" s="16" t="s">
        <v>11</v>
      </c>
      <c r="D3" s="327" t="str">
        <f>[2]Koptame!C11</f>
        <v>Jaunlopu kūts</v>
      </c>
      <c r="E3" s="327"/>
      <c r="F3" s="327"/>
      <c r="G3" s="327"/>
      <c r="H3" s="327"/>
      <c r="I3" s="327"/>
      <c r="J3" s="327"/>
      <c r="K3" s="327"/>
      <c r="L3" s="327"/>
      <c r="M3" s="327"/>
      <c r="N3" s="327"/>
      <c r="O3" s="327"/>
      <c r="P3" s="327"/>
    </row>
    <row r="4" spans="1:16" ht="13.8" x14ac:dyDescent="0.25">
      <c r="A4" s="16"/>
      <c r="B4" s="89"/>
      <c r="C4" s="16" t="s">
        <v>12</v>
      </c>
      <c r="D4" s="327" t="str">
        <f>[2]Koptame!C12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ht="13.8" x14ac:dyDescent="0.25">
      <c r="A5" s="16"/>
      <c r="B5" s="89"/>
      <c r="C5" s="16" t="s">
        <v>13</v>
      </c>
      <c r="D5" s="327" t="str">
        <f>[2]Koptame!C13</f>
        <v>“Līci”,Sarkaņu pag.,Madonas nov.</v>
      </c>
      <c r="E5" s="327"/>
      <c r="F5" s="327"/>
      <c r="G5" s="327"/>
      <c r="H5" s="327"/>
      <c r="I5" s="327"/>
      <c r="J5" s="327"/>
      <c r="K5" s="327"/>
      <c r="L5" s="327"/>
      <c r="M5" s="327"/>
      <c r="N5" s="327"/>
      <c r="O5" s="327"/>
      <c r="P5" s="327"/>
    </row>
    <row r="6" spans="1:16" ht="13.8" x14ac:dyDescent="0.25">
      <c r="A6" s="16"/>
      <c r="B6" s="89"/>
      <c r="C6" s="16" t="str">
        <f>[2]Koptame!B14</f>
        <v>Pasūtījuma Nr.</v>
      </c>
      <c r="D6" s="18" t="str">
        <f>[2]Koptame!C14</f>
        <v xml:space="preserve"> L-25-10-45</v>
      </c>
      <c r="E6" s="37"/>
      <c r="F6" s="43"/>
      <c r="G6" s="43"/>
      <c r="H6" s="37"/>
      <c r="I6" s="37"/>
      <c r="J6" s="37"/>
      <c r="K6" s="37"/>
      <c r="L6" s="37"/>
      <c r="M6" s="37"/>
      <c r="N6" s="37"/>
      <c r="O6" s="37"/>
      <c r="P6" s="21"/>
    </row>
    <row r="7" spans="1:16" ht="13.8" x14ac:dyDescent="0.25">
      <c r="A7" s="3" t="str">
        <f>[2]Koptame!B17</f>
        <v>Tāme sastādīta 202_.gada tirgus cenās, pamatojoties uz būvprojekta rasējumiem un darbu apjomiem</v>
      </c>
      <c r="B7" s="90"/>
      <c r="C7" s="15"/>
      <c r="D7" s="18"/>
      <c r="E7" s="18"/>
      <c r="F7" s="44"/>
      <c r="G7" s="44"/>
      <c r="H7" s="18"/>
      <c r="I7" s="18"/>
      <c r="J7" s="18"/>
      <c r="K7" s="37"/>
      <c r="L7" s="37"/>
      <c r="M7" s="37"/>
      <c r="N7" s="37"/>
      <c r="O7" s="16" t="s">
        <v>59</v>
      </c>
      <c r="P7" s="22">
        <f>P41</f>
        <v>0</v>
      </c>
    </row>
    <row r="8" spans="1:16" ht="13.8" x14ac:dyDescent="0.25">
      <c r="A8" s="19"/>
      <c r="B8" s="89"/>
      <c r="C8" s="15"/>
      <c r="D8" s="23"/>
      <c r="E8" s="37"/>
      <c r="F8" s="43"/>
      <c r="G8" s="43"/>
      <c r="H8" s="37"/>
      <c r="I8" s="37"/>
      <c r="J8" s="37"/>
      <c r="K8" s="37"/>
      <c r="L8" s="15"/>
      <c r="M8" s="15"/>
      <c r="N8" s="37"/>
      <c r="O8" s="37"/>
      <c r="P8" s="21"/>
    </row>
    <row r="9" spans="1:16" ht="15" x14ac:dyDescent="0.25">
      <c r="A9" s="39"/>
      <c r="B9" s="91"/>
      <c r="C9" s="15"/>
      <c r="D9" s="15"/>
      <c r="E9" s="15"/>
      <c r="F9" s="45"/>
      <c r="G9" s="45"/>
      <c r="H9" s="15"/>
      <c r="I9" s="15"/>
      <c r="J9" s="38"/>
      <c r="K9" s="38"/>
      <c r="L9" s="326" t="str">
        <f>[2]Koptame!D16</f>
        <v>Tāme sastādīta:  202_.gada _____________</v>
      </c>
      <c r="M9" s="326"/>
      <c r="N9" s="326"/>
      <c r="O9" s="326"/>
      <c r="P9" s="38"/>
    </row>
    <row r="10" spans="1:16" ht="15" x14ac:dyDescent="0.25">
      <c r="A10" s="39"/>
      <c r="B10" s="91"/>
      <c r="C10" s="15"/>
      <c r="D10" s="15"/>
      <c r="E10" s="15"/>
      <c r="F10" s="45"/>
      <c r="G10" s="45"/>
      <c r="H10" s="15"/>
      <c r="I10" s="15"/>
      <c r="J10" s="15"/>
      <c r="K10" s="15"/>
      <c r="L10" s="15"/>
      <c r="M10" s="15"/>
      <c r="N10" s="15"/>
      <c r="O10" s="15"/>
      <c r="P10" s="15"/>
    </row>
    <row r="11" spans="1:16" ht="13.8" x14ac:dyDescent="0.25">
      <c r="A11" s="318" t="s">
        <v>15</v>
      </c>
      <c r="B11" s="319" t="s">
        <v>21</v>
      </c>
      <c r="C11" s="321" t="s">
        <v>64</v>
      </c>
      <c r="D11" s="322" t="s">
        <v>22</v>
      </c>
      <c r="E11" s="318" t="s">
        <v>23</v>
      </c>
      <c r="F11" s="316" t="s">
        <v>24</v>
      </c>
      <c r="G11" s="316"/>
      <c r="H11" s="316"/>
      <c r="I11" s="316"/>
      <c r="J11" s="316"/>
      <c r="K11" s="316"/>
      <c r="L11" s="316" t="s">
        <v>25</v>
      </c>
      <c r="M11" s="316"/>
      <c r="N11" s="316"/>
      <c r="O11" s="316"/>
      <c r="P11" s="316"/>
    </row>
    <row r="12" spans="1:16" ht="67.2" x14ac:dyDescent="0.25">
      <c r="A12" s="318"/>
      <c r="B12" s="320"/>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178"/>
      <c r="C13" s="243" t="str">
        <f>[2]kops3!C22</f>
        <v>Ārējā elektroapgāde 1. kārta</v>
      </c>
      <c r="D13" s="179"/>
      <c r="E13" s="180"/>
      <c r="F13" s="181"/>
      <c r="G13" s="182"/>
      <c r="H13" s="182"/>
      <c r="I13" s="183"/>
      <c r="J13" s="183"/>
      <c r="K13" s="183"/>
      <c r="L13" s="184"/>
      <c r="M13" s="183"/>
      <c r="N13" s="183"/>
      <c r="O13" s="183"/>
      <c r="P13" s="185"/>
    </row>
    <row r="14" spans="1:16" ht="13.8" x14ac:dyDescent="0.25">
      <c r="A14" s="244">
        <v>1</v>
      </c>
      <c r="B14" s="245"/>
      <c r="C14" s="254" t="s">
        <v>243</v>
      </c>
      <c r="D14" s="245" t="s">
        <v>100</v>
      </c>
      <c r="E14" s="255">
        <v>10</v>
      </c>
      <c r="F14" s="155"/>
      <c r="G14" s="155"/>
      <c r="H14" s="156"/>
      <c r="I14" s="156"/>
      <c r="J14" s="156"/>
      <c r="K14" s="149"/>
      <c r="L14" s="150"/>
      <c r="M14" s="149"/>
      <c r="N14" s="149"/>
      <c r="O14" s="149"/>
      <c r="P14" s="151"/>
    </row>
    <row r="15" spans="1:16" ht="13.8" x14ac:dyDescent="0.25">
      <c r="A15" s="244">
        <v>2</v>
      </c>
      <c r="B15" s="245"/>
      <c r="C15" s="254" t="s">
        <v>244</v>
      </c>
      <c r="D15" s="245" t="s">
        <v>100</v>
      </c>
      <c r="E15" s="255">
        <v>21</v>
      </c>
      <c r="F15" s="155"/>
      <c r="G15" s="155"/>
      <c r="H15" s="156"/>
      <c r="I15" s="156"/>
      <c r="J15" s="156"/>
      <c r="K15" s="149"/>
      <c r="L15" s="150"/>
      <c r="M15" s="149"/>
      <c r="N15" s="149"/>
      <c r="O15" s="149"/>
      <c r="P15" s="151"/>
    </row>
    <row r="16" spans="1:16" ht="13.8" x14ac:dyDescent="0.25">
      <c r="A16" s="244">
        <v>3</v>
      </c>
      <c r="B16" s="245"/>
      <c r="C16" s="246" t="s">
        <v>245</v>
      </c>
      <c r="D16" s="245" t="s">
        <v>75</v>
      </c>
      <c r="E16" s="255">
        <v>454</v>
      </c>
      <c r="F16" s="155"/>
      <c r="G16" s="155"/>
      <c r="H16" s="156"/>
      <c r="I16" s="156"/>
      <c r="J16" s="156"/>
      <c r="K16" s="149"/>
      <c r="L16" s="150"/>
      <c r="M16" s="149"/>
      <c r="N16" s="149"/>
      <c r="O16" s="149"/>
      <c r="P16" s="151"/>
    </row>
    <row r="17" spans="1:16" ht="13.8" x14ac:dyDescent="0.25">
      <c r="A17" s="244">
        <v>4</v>
      </c>
      <c r="B17" s="245"/>
      <c r="C17" s="247" t="s">
        <v>246</v>
      </c>
      <c r="D17" s="245" t="s">
        <v>100</v>
      </c>
      <c r="E17" s="255">
        <v>591</v>
      </c>
      <c r="F17" s="155"/>
      <c r="G17" s="155"/>
      <c r="H17" s="156"/>
      <c r="I17" s="156"/>
      <c r="J17" s="156"/>
      <c r="K17" s="149"/>
      <c r="L17" s="150"/>
      <c r="M17" s="149"/>
      <c r="N17" s="149"/>
      <c r="O17" s="149"/>
      <c r="P17" s="151"/>
    </row>
    <row r="18" spans="1:16" ht="13.8" x14ac:dyDescent="0.25">
      <c r="A18" s="244">
        <v>5</v>
      </c>
      <c r="B18" s="245"/>
      <c r="C18" s="246" t="s">
        <v>247</v>
      </c>
      <c r="D18" s="245" t="s">
        <v>100</v>
      </c>
      <c r="E18" s="255">
        <v>10</v>
      </c>
      <c r="F18" s="155"/>
      <c r="G18" s="155"/>
      <c r="H18" s="156"/>
      <c r="I18" s="156"/>
      <c r="J18" s="156"/>
      <c r="K18" s="149"/>
      <c r="L18" s="150"/>
      <c r="M18" s="149"/>
      <c r="N18" s="149"/>
      <c r="O18" s="149"/>
      <c r="P18" s="151"/>
    </row>
    <row r="19" spans="1:16" ht="27.6" x14ac:dyDescent="0.25">
      <c r="A19" s="256">
        <v>6</v>
      </c>
      <c r="B19" s="255"/>
      <c r="C19" s="248" t="s">
        <v>248</v>
      </c>
      <c r="D19" s="255" t="s">
        <v>78</v>
      </c>
      <c r="E19" s="255">
        <v>10</v>
      </c>
      <c r="F19" s="155"/>
      <c r="G19" s="155"/>
      <c r="H19" s="156"/>
      <c r="I19" s="156"/>
      <c r="J19" s="156"/>
      <c r="K19" s="149"/>
      <c r="L19" s="150"/>
      <c r="M19" s="149"/>
      <c r="N19" s="149"/>
      <c r="O19" s="149"/>
      <c r="P19" s="151"/>
    </row>
    <row r="20" spans="1:16" ht="13.8" x14ac:dyDescent="0.25">
      <c r="A20" s="256">
        <v>8</v>
      </c>
      <c r="B20" s="255"/>
      <c r="C20" s="254" t="s">
        <v>230</v>
      </c>
      <c r="D20" s="255" t="s">
        <v>75</v>
      </c>
      <c r="E20" s="255">
        <v>225</v>
      </c>
      <c r="F20" s="155"/>
      <c r="G20" s="155"/>
      <c r="H20" s="156"/>
      <c r="I20" s="156"/>
      <c r="J20" s="156"/>
      <c r="K20" s="149"/>
      <c r="L20" s="150"/>
      <c r="M20" s="149"/>
      <c r="N20" s="149"/>
      <c r="O20" s="149"/>
      <c r="P20" s="151"/>
    </row>
    <row r="21" spans="1:16" ht="13.8" x14ac:dyDescent="0.25">
      <c r="A21" s="256">
        <v>9</v>
      </c>
      <c r="B21" s="255"/>
      <c r="C21" s="254" t="s">
        <v>249</v>
      </c>
      <c r="D21" s="255" t="s">
        <v>100</v>
      </c>
      <c r="E21" s="255">
        <v>6</v>
      </c>
      <c r="F21" s="155"/>
      <c r="G21" s="155"/>
      <c r="H21" s="156"/>
      <c r="I21" s="156"/>
      <c r="J21" s="156"/>
      <c r="K21" s="149"/>
      <c r="L21" s="150"/>
      <c r="M21" s="149"/>
      <c r="N21" s="149"/>
      <c r="O21" s="149"/>
      <c r="P21" s="151"/>
    </row>
    <row r="22" spans="1:16" ht="13.8" x14ac:dyDescent="0.25">
      <c r="A22" s="256">
        <v>10</v>
      </c>
      <c r="B22" s="255"/>
      <c r="C22" s="254" t="s">
        <v>250</v>
      </c>
      <c r="D22" s="255" t="s">
        <v>100</v>
      </c>
      <c r="E22" s="255">
        <v>6</v>
      </c>
      <c r="F22" s="155"/>
      <c r="G22" s="155"/>
      <c r="H22" s="156"/>
      <c r="I22" s="156"/>
      <c r="J22" s="156"/>
      <c r="K22" s="149"/>
      <c r="L22" s="150"/>
      <c r="M22" s="149"/>
      <c r="N22" s="149"/>
      <c r="O22" s="149"/>
      <c r="P22" s="151"/>
    </row>
    <row r="23" spans="1:16" ht="13.8" x14ac:dyDescent="0.25">
      <c r="A23" s="256">
        <v>11</v>
      </c>
      <c r="B23" s="255"/>
      <c r="C23" s="254" t="s">
        <v>251</v>
      </c>
      <c r="D23" s="255" t="s">
        <v>100</v>
      </c>
      <c r="E23" s="255">
        <v>1</v>
      </c>
      <c r="F23" s="155"/>
      <c r="G23" s="155"/>
      <c r="H23" s="156"/>
      <c r="I23" s="156"/>
      <c r="J23" s="156"/>
      <c r="K23" s="149"/>
      <c r="L23" s="150"/>
      <c r="M23" s="149"/>
      <c r="N23" s="149"/>
      <c r="O23" s="149"/>
      <c r="P23" s="151"/>
    </row>
    <row r="24" spans="1:16" ht="13.8" x14ac:dyDescent="0.25">
      <c r="A24" s="256">
        <v>12</v>
      </c>
      <c r="B24" s="255"/>
      <c r="C24" s="254" t="s">
        <v>252</v>
      </c>
      <c r="D24" s="255" t="s">
        <v>100</v>
      </c>
      <c r="E24" s="255">
        <v>6</v>
      </c>
      <c r="F24" s="155"/>
      <c r="G24" s="155"/>
      <c r="H24" s="156"/>
      <c r="I24" s="156"/>
      <c r="J24" s="156"/>
      <c r="K24" s="149"/>
      <c r="L24" s="150"/>
      <c r="M24" s="149"/>
      <c r="N24" s="149"/>
      <c r="O24" s="149"/>
      <c r="P24" s="151"/>
    </row>
    <row r="25" spans="1:16" ht="13.8" x14ac:dyDescent="0.25">
      <c r="A25" s="244">
        <v>13</v>
      </c>
      <c r="B25" s="245"/>
      <c r="C25" s="246" t="s">
        <v>253</v>
      </c>
      <c r="D25" s="245" t="s">
        <v>75</v>
      </c>
      <c r="E25" s="255">
        <v>42</v>
      </c>
      <c r="F25" s="155"/>
      <c r="G25" s="155"/>
      <c r="H25" s="156"/>
      <c r="I25" s="156"/>
      <c r="J25" s="156"/>
      <c r="K25" s="149"/>
      <c r="L25" s="150"/>
      <c r="M25" s="149"/>
      <c r="N25" s="149"/>
      <c r="O25" s="149"/>
      <c r="P25" s="151"/>
    </row>
    <row r="26" spans="1:16" ht="13.8" x14ac:dyDescent="0.25">
      <c r="A26" s="244">
        <v>14</v>
      </c>
      <c r="B26" s="245"/>
      <c r="C26" s="254" t="s">
        <v>254</v>
      </c>
      <c r="D26" s="255" t="s">
        <v>100</v>
      </c>
      <c r="E26" s="255">
        <v>14</v>
      </c>
      <c r="F26" s="155"/>
      <c r="G26" s="155"/>
      <c r="H26" s="156"/>
      <c r="I26" s="156"/>
      <c r="J26" s="156"/>
      <c r="K26" s="149"/>
      <c r="L26" s="150"/>
      <c r="M26" s="149"/>
      <c r="N26" s="149"/>
      <c r="O26" s="149"/>
      <c r="P26" s="151"/>
    </row>
    <row r="27" spans="1:16" ht="13.8" x14ac:dyDescent="0.25">
      <c r="A27" s="244">
        <v>15</v>
      </c>
      <c r="B27" s="245"/>
      <c r="C27" s="247" t="s">
        <v>255</v>
      </c>
      <c r="D27" s="245" t="s">
        <v>100</v>
      </c>
      <c r="E27" s="255">
        <v>6</v>
      </c>
      <c r="F27" s="155"/>
      <c r="G27" s="155"/>
      <c r="H27" s="156"/>
      <c r="I27" s="156"/>
      <c r="J27" s="156"/>
      <c r="K27" s="149"/>
      <c r="L27" s="150"/>
      <c r="M27" s="149"/>
      <c r="N27" s="149"/>
      <c r="O27" s="149"/>
      <c r="P27" s="151"/>
    </row>
    <row r="28" spans="1:16" ht="13.8" x14ac:dyDescent="0.25">
      <c r="A28" s="244">
        <v>17</v>
      </c>
      <c r="B28" s="245"/>
      <c r="C28" s="248" t="s">
        <v>256</v>
      </c>
      <c r="D28" s="255" t="s">
        <v>75</v>
      </c>
      <c r="E28" s="255">
        <v>8</v>
      </c>
      <c r="F28" s="155"/>
      <c r="G28" s="155"/>
      <c r="H28" s="156"/>
      <c r="I28" s="156"/>
      <c r="J28" s="156"/>
      <c r="K28" s="149"/>
      <c r="L28" s="150"/>
      <c r="M28" s="149"/>
      <c r="N28" s="149"/>
      <c r="O28" s="149"/>
      <c r="P28" s="151"/>
    </row>
    <row r="29" spans="1:16" ht="13.8" x14ac:dyDescent="0.25">
      <c r="A29" s="244">
        <v>18</v>
      </c>
      <c r="B29" s="245"/>
      <c r="C29" s="248" t="s">
        <v>257</v>
      </c>
      <c r="D29" s="255" t="s">
        <v>75</v>
      </c>
      <c r="E29" s="255">
        <v>10</v>
      </c>
      <c r="F29" s="155"/>
      <c r="G29" s="155"/>
      <c r="H29" s="156"/>
      <c r="I29" s="156"/>
      <c r="J29" s="156"/>
      <c r="K29" s="149"/>
      <c r="L29" s="150"/>
      <c r="M29" s="149"/>
      <c r="N29" s="149"/>
      <c r="O29" s="149"/>
      <c r="P29" s="151"/>
    </row>
    <row r="30" spans="1:16" ht="13.8" x14ac:dyDescent="0.25">
      <c r="A30" s="244">
        <v>19</v>
      </c>
      <c r="B30" s="245"/>
      <c r="C30" s="248" t="s">
        <v>258</v>
      </c>
      <c r="D30" s="255" t="s">
        <v>100</v>
      </c>
      <c r="E30" s="255">
        <v>2</v>
      </c>
      <c r="F30" s="155"/>
      <c r="G30" s="155"/>
      <c r="H30" s="156"/>
      <c r="I30" s="156"/>
      <c r="J30" s="156"/>
      <c r="K30" s="149"/>
      <c r="L30" s="150"/>
      <c r="M30" s="149"/>
      <c r="N30" s="149"/>
      <c r="O30" s="149"/>
      <c r="P30" s="151"/>
    </row>
    <row r="31" spans="1:16" ht="13.8" x14ac:dyDescent="0.25">
      <c r="A31" s="244">
        <v>20</v>
      </c>
      <c r="B31" s="245"/>
      <c r="C31" s="248" t="s">
        <v>259</v>
      </c>
      <c r="D31" s="255" t="s">
        <v>75</v>
      </c>
      <c r="E31" s="255">
        <v>8</v>
      </c>
      <c r="F31" s="155"/>
      <c r="G31" s="155"/>
      <c r="H31" s="156"/>
      <c r="I31" s="156"/>
      <c r="J31" s="156"/>
      <c r="K31" s="149"/>
      <c r="L31" s="150"/>
      <c r="M31" s="149"/>
      <c r="N31" s="149"/>
      <c r="O31" s="149"/>
      <c r="P31" s="151"/>
    </row>
    <row r="32" spans="1:16" ht="13.8" x14ac:dyDescent="0.25">
      <c r="A32" s="244">
        <v>21</v>
      </c>
      <c r="B32" s="245"/>
      <c r="C32" s="248" t="s">
        <v>260</v>
      </c>
      <c r="D32" s="255" t="s">
        <v>95</v>
      </c>
      <c r="E32" s="255">
        <v>5</v>
      </c>
      <c r="F32" s="155"/>
      <c r="G32" s="155"/>
      <c r="H32" s="156"/>
      <c r="I32" s="156"/>
      <c r="J32" s="156"/>
      <c r="K32" s="149"/>
      <c r="L32" s="150"/>
      <c r="M32" s="149"/>
      <c r="N32" s="149"/>
      <c r="O32" s="149"/>
      <c r="P32" s="151"/>
    </row>
    <row r="33" spans="1:16" ht="13.8" x14ac:dyDescent="0.25">
      <c r="A33" s="244">
        <v>22</v>
      </c>
      <c r="B33" s="245"/>
      <c r="C33" s="248" t="s">
        <v>261</v>
      </c>
      <c r="D33" s="255" t="s">
        <v>75</v>
      </c>
      <c r="E33" s="255">
        <v>8</v>
      </c>
      <c r="F33" s="155"/>
      <c r="G33" s="155"/>
      <c r="H33" s="156"/>
      <c r="I33" s="156"/>
      <c r="J33" s="156"/>
      <c r="K33" s="149"/>
      <c r="L33" s="150"/>
      <c r="M33" s="149"/>
      <c r="N33" s="149"/>
      <c r="O33" s="149"/>
      <c r="P33" s="151"/>
    </row>
    <row r="34" spans="1:16" ht="13.8" x14ac:dyDescent="0.25">
      <c r="A34" s="244">
        <v>23</v>
      </c>
      <c r="B34" s="245"/>
      <c r="C34" s="246" t="s">
        <v>236</v>
      </c>
      <c r="D34" s="245" t="s">
        <v>78</v>
      </c>
      <c r="E34" s="255">
        <v>1</v>
      </c>
      <c r="F34" s="155"/>
      <c r="G34" s="155"/>
      <c r="H34" s="156"/>
      <c r="I34" s="156"/>
      <c r="J34" s="156"/>
      <c r="K34" s="149"/>
      <c r="L34" s="150"/>
      <c r="M34" s="149"/>
      <c r="N34" s="149"/>
      <c r="O34" s="149"/>
      <c r="P34" s="151"/>
    </row>
    <row r="35" spans="1:16" ht="13.8" x14ac:dyDescent="0.25">
      <c r="A35" s="244">
        <v>24</v>
      </c>
      <c r="B35" s="245"/>
      <c r="C35" s="246" t="s">
        <v>262</v>
      </c>
      <c r="D35" s="245" t="s">
        <v>78</v>
      </c>
      <c r="E35" s="255">
        <v>1</v>
      </c>
      <c r="F35" s="155"/>
      <c r="G35" s="155"/>
      <c r="H35" s="156"/>
      <c r="I35" s="156"/>
      <c r="J35" s="156"/>
      <c r="K35" s="149"/>
      <c r="L35" s="150"/>
      <c r="M35" s="149"/>
      <c r="N35" s="149"/>
      <c r="O35" s="149"/>
      <c r="P35" s="151"/>
    </row>
    <row r="36" spans="1:16" ht="59.55" customHeight="1" x14ac:dyDescent="0.25">
      <c r="A36" s="244">
        <v>25</v>
      </c>
      <c r="B36" s="245"/>
      <c r="C36" s="247" t="s">
        <v>263</v>
      </c>
      <c r="D36" s="245" t="s">
        <v>78</v>
      </c>
      <c r="E36" s="255">
        <v>1</v>
      </c>
      <c r="F36" s="155"/>
      <c r="G36" s="155"/>
      <c r="H36" s="156"/>
      <c r="I36" s="156"/>
      <c r="J36" s="156"/>
      <c r="K36" s="149"/>
      <c r="L36" s="150"/>
      <c r="M36" s="149"/>
      <c r="N36" s="149"/>
      <c r="O36" s="149"/>
      <c r="P36" s="151"/>
    </row>
    <row r="37" spans="1:16" ht="15.6" x14ac:dyDescent="0.3">
      <c r="A37" s="257"/>
      <c r="B37" s="258"/>
      <c r="C37" s="259" t="s">
        <v>237</v>
      </c>
      <c r="D37" s="259"/>
      <c r="E37" s="259"/>
      <c r="F37" s="155"/>
      <c r="G37" s="155"/>
      <c r="H37" s="156"/>
      <c r="I37" s="156"/>
      <c r="J37" s="156"/>
      <c r="K37" s="149"/>
      <c r="L37" s="150"/>
      <c r="M37" s="149"/>
      <c r="N37" s="149"/>
      <c r="O37" s="149"/>
      <c r="P37" s="151"/>
    </row>
    <row r="38" spans="1:16" ht="13.8" x14ac:dyDescent="0.25">
      <c r="A38" s="244">
        <v>26</v>
      </c>
      <c r="B38" s="245"/>
      <c r="C38" s="246" t="s">
        <v>264</v>
      </c>
      <c r="D38" s="245" t="s">
        <v>78</v>
      </c>
      <c r="E38" s="245">
        <v>1</v>
      </c>
      <c r="F38" s="155"/>
      <c r="G38" s="155"/>
      <c r="H38" s="156"/>
      <c r="I38" s="156"/>
      <c r="J38" s="156"/>
      <c r="K38" s="149"/>
      <c r="L38" s="150"/>
      <c r="M38" s="149"/>
      <c r="N38" s="149"/>
      <c r="O38" s="149"/>
      <c r="P38" s="151"/>
    </row>
    <row r="39" spans="1:16" ht="13.8" x14ac:dyDescent="0.25">
      <c r="A39" s="244">
        <v>27</v>
      </c>
      <c r="B39" s="245"/>
      <c r="C39" s="246" t="s">
        <v>265</v>
      </c>
      <c r="D39" s="245" t="s">
        <v>78</v>
      </c>
      <c r="E39" s="245">
        <v>1</v>
      </c>
      <c r="F39" s="155"/>
      <c r="G39" s="155"/>
      <c r="H39" s="156"/>
      <c r="I39" s="156"/>
      <c r="J39" s="156"/>
      <c r="K39" s="149"/>
      <c r="L39" s="150"/>
      <c r="M39" s="149"/>
      <c r="N39" s="149"/>
      <c r="O39" s="149"/>
      <c r="P39" s="151"/>
    </row>
    <row r="40" spans="1:16" x14ac:dyDescent="0.25">
      <c r="A40" s="189"/>
      <c r="B40" s="190"/>
      <c r="C40" s="191"/>
      <c r="D40" s="192"/>
      <c r="E40" s="193"/>
      <c r="F40" s="194"/>
      <c r="G40" s="194"/>
      <c r="H40" s="194"/>
      <c r="I40" s="193"/>
      <c r="J40" s="193"/>
      <c r="K40" s="193"/>
      <c r="L40" s="193"/>
      <c r="M40" s="193"/>
      <c r="N40" s="193"/>
      <c r="O40" s="193"/>
      <c r="P40" s="195"/>
    </row>
    <row r="41" spans="1:16" ht="13.8" x14ac:dyDescent="0.25">
      <c r="A41" s="174"/>
      <c r="B41" s="175"/>
      <c r="C41" s="330" t="s">
        <v>71</v>
      </c>
      <c r="D41" s="331"/>
      <c r="E41" s="331"/>
      <c r="F41" s="331"/>
      <c r="G41" s="331"/>
      <c r="H41" s="331"/>
      <c r="I41" s="331"/>
      <c r="J41" s="331"/>
      <c r="K41" s="331"/>
      <c r="L41" s="176">
        <f>SUM(L13:L40)</f>
        <v>0</v>
      </c>
      <c r="M41" s="176">
        <f>SUM(M13:M40)</f>
        <v>0</v>
      </c>
      <c r="N41" s="176">
        <f>SUM(N13:N40)</f>
        <v>0</v>
      </c>
      <c r="O41" s="176">
        <f>SUM(O13:O40)</f>
        <v>0</v>
      </c>
      <c r="P41" s="176">
        <f>SUM(P13:P40)</f>
        <v>0</v>
      </c>
    </row>
    <row r="42" spans="1:16" ht="13.8" x14ac:dyDescent="0.25">
      <c r="A42" s="101"/>
      <c r="B42" s="101"/>
      <c r="C42" s="101"/>
      <c r="D42" s="101"/>
      <c r="E42" s="101"/>
      <c r="F42" s="101"/>
      <c r="G42" s="101"/>
      <c r="H42" s="101"/>
      <c r="I42" s="122"/>
      <c r="J42" s="101"/>
      <c r="K42" s="101"/>
      <c r="L42" s="101"/>
      <c r="M42" s="101"/>
      <c r="N42" s="101"/>
      <c r="O42" s="101"/>
      <c r="P42" s="101"/>
    </row>
    <row r="43" spans="1:16" x14ac:dyDescent="0.25">
      <c r="B43" s="123" t="s">
        <v>41</v>
      </c>
    </row>
    <row r="44" spans="1:16" x14ac:dyDescent="0.25">
      <c r="A44" s="317" t="str">
        <f>'[2]2,1'!A25:G25</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44" s="317"/>
      <c r="C44" s="317"/>
      <c r="D44" s="317"/>
      <c r="E44" s="317"/>
      <c r="F44" s="317"/>
      <c r="G44" s="317"/>
      <c r="H44" s="317"/>
      <c r="I44" s="317"/>
      <c r="J44" s="317"/>
      <c r="K44" s="317"/>
      <c r="L44" s="317"/>
      <c r="M44" s="317"/>
      <c r="N44" s="317"/>
      <c r="O44" s="317"/>
      <c r="P44" s="317"/>
    </row>
    <row r="45" spans="1:16" x14ac:dyDescent="0.25">
      <c r="A45" s="317">
        <f>'[2]2,1'!$A$26</f>
        <v>0</v>
      </c>
      <c r="B45" s="317"/>
      <c r="C45" s="317"/>
      <c r="D45" s="317"/>
      <c r="E45" s="317"/>
      <c r="F45" s="317"/>
      <c r="G45" s="317"/>
      <c r="H45" s="317"/>
      <c r="I45" s="317"/>
      <c r="J45" s="317"/>
      <c r="K45" s="317"/>
      <c r="L45" s="317"/>
      <c r="M45" s="317"/>
      <c r="N45" s="317"/>
      <c r="O45" s="317"/>
      <c r="P45" s="317"/>
    </row>
    <row r="46" spans="1:16" x14ac:dyDescent="0.25">
      <c r="B46" s="124"/>
    </row>
    <row r="47" spans="1:16" x14ac:dyDescent="0.25">
      <c r="B47" s="124"/>
    </row>
    <row r="48" spans="1:16" ht="13.8" x14ac:dyDescent="0.25">
      <c r="A48" s="101"/>
      <c r="B48" s="101" t="s">
        <v>8</v>
      </c>
      <c r="C48" s="101"/>
      <c r="D48" s="101"/>
      <c r="E48" s="101"/>
      <c r="F48" s="101"/>
      <c r="G48" s="101"/>
      <c r="H48" s="101"/>
      <c r="I48" s="101"/>
      <c r="J48" s="101"/>
      <c r="K48" s="101"/>
      <c r="L48" s="129" t="str">
        <f>[2]Koptame!B39</f>
        <v>Pārbaudīja:</v>
      </c>
      <c r="M48" s="129"/>
      <c r="N48" s="129"/>
      <c r="O48" s="129"/>
      <c r="P48" s="129"/>
    </row>
    <row r="49" spans="1:16" ht="13.8" x14ac:dyDescent="0.25">
      <c r="A49" s="101"/>
      <c r="B49" s="101"/>
      <c r="C49" s="121"/>
      <c r="D49" s="101"/>
      <c r="E49" s="101"/>
      <c r="F49" s="101"/>
      <c r="G49" s="101"/>
      <c r="H49" s="101"/>
      <c r="I49" s="101"/>
      <c r="J49" s="101"/>
      <c r="K49" s="101"/>
      <c r="L49" s="121"/>
      <c r="M49" s="314"/>
      <c r="N49" s="314"/>
      <c r="O49" s="129"/>
      <c r="P49" s="129"/>
    </row>
    <row r="50" spans="1:16" ht="13.8" x14ac:dyDescent="0.25">
      <c r="A50" s="101"/>
      <c r="B50" s="101"/>
      <c r="C50" s="120"/>
      <c r="D50" s="101"/>
      <c r="E50" s="101"/>
      <c r="F50" s="101"/>
      <c r="G50" s="101"/>
      <c r="H50" s="101"/>
      <c r="I50" s="101"/>
      <c r="J50" s="101"/>
      <c r="K50" s="101"/>
      <c r="L50" s="120"/>
      <c r="M50" s="315"/>
      <c r="N50" s="315"/>
      <c r="O50" s="129"/>
      <c r="P50" s="129"/>
    </row>
    <row r="51" spans="1:16" ht="13.8" x14ac:dyDescent="0.25">
      <c r="A51" s="101"/>
      <c r="B51" s="122"/>
      <c r="C51" s="101"/>
      <c r="D51" s="101"/>
      <c r="E51" s="101"/>
      <c r="F51" s="122"/>
      <c r="G51" s="122"/>
      <c r="H51" s="101"/>
      <c r="I51" s="101"/>
      <c r="J51" s="101"/>
      <c r="K51" s="101"/>
      <c r="L51" s="101"/>
      <c r="M51" s="101"/>
      <c r="N51" s="101"/>
      <c r="O51" s="101"/>
      <c r="P51" s="101"/>
    </row>
    <row r="52" spans="1:16" ht="13.8" x14ac:dyDescent="0.25">
      <c r="A52" s="15"/>
      <c r="B52" s="45"/>
      <c r="C52" s="15"/>
      <c r="D52" s="15"/>
      <c r="E52" s="15"/>
      <c r="F52" s="45"/>
      <c r="G52" s="45"/>
      <c r="H52" s="15"/>
      <c r="I52" s="15"/>
      <c r="J52" s="15"/>
      <c r="K52" s="15"/>
      <c r="L52" s="15"/>
      <c r="M52" s="15"/>
      <c r="N52" s="15"/>
      <c r="O52" s="15"/>
      <c r="P52" s="15"/>
    </row>
  </sheetData>
  <mergeCells count="17">
    <mergeCell ref="M50:N50"/>
    <mergeCell ref="F11:K11"/>
    <mergeCell ref="L11:P11"/>
    <mergeCell ref="C41:K41"/>
    <mergeCell ref="A44:P44"/>
    <mergeCell ref="A45:P45"/>
    <mergeCell ref="M49:N49"/>
    <mergeCell ref="A11:A12"/>
    <mergeCell ref="B11:B12"/>
    <mergeCell ref="C11:C12"/>
    <mergeCell ref="D11:D12"/>
    <mergeCell ref="E11:E12"/>
    <mergeCell ref="A2:P2"/>
    <mergeCell ref="D3:P3"/>
    <mergeCell ref="D4:P4"/>
    <mergeCell ref="D5:P5"/>
    <mergeCell ref="L9:O9"/>
  </mergeCells>
  <pageMargins left="0.7" right="0.7" top="0.75" bottom="0.75" header="0.3" footer="0.3"/>
  <pageSetup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39997558519241921"/>
  </sheetPr>
  <dimension ref="A1:I38"/>
  <sheetViews>
    <sheetView showZeros="0" view="pageBreakPreview" topLeftCell="A3" zoomScale="85" zoomScaleNormal="100" zoomScaleSheetLayoutView="85" workbookViewId="0">
      <selection activeCell="E21" sqref="E21"/>
    </sheetView>
  </sheetViews>
  <sheetFormatPr defaultColWidth="9.109375" defaultRowHeight="13.2" x14ac:dyDescent="0.25"/>
  <cols>
    <col min="1" max="1" width="10.21875" style="52" customWidth="1"/>
    <col min="2" max="2" width="12.77734375" style="52" customWidth="1"/>
    <col min="3" max="3" width="32.77734375" style="52" customWidth="1"/>
    <col min="4" max="4" width="10" style="52" customWidth="1"/>
    <col min="5" max="5" width="13.21875" style="52" customWidth="1"/>
    <col min="6" max="6" width="13.77734375" style="52" customWidth="1"/>
    <col min="7" max="7" width="17.6640625" style="52" customWidth="1"/>
    <col min="8" max="8" width="12.88671875" style="52" customWidth="1"/>
    <col min="9" max="9" width="16" style="52" customWidth="1"/>
    <col min="10" max="16384" width="9.109375" style="52"/>
  </cols>
  <sheetData>
    <row r="1" spans="1:9" ht="17.399999999999999" x14ac:dyDescent="0.3">
      <c r="A1" s="51"/>
    </row>
    <row r="2" spans="1:9" ht="18" customHeight="1" x14ac:dyDescent="0.3">
      <c r="A2" s="299" t="s">
        <v>68</v>
      </c>
      <c r="B2" s="299"/>
      <c r="C2" s="299"/>
      <c r="D2" s="299"/>
      <c r="E2" s="299"/>
      <c r="F2" s="299"/>
      <c r="G2" s="299"/>
      <c r="H2" s="299"/>
      <c r="I2" s="299"/>
    </row>
    <row r="3" spans="1:9" ht="17.399999999999999" x14ac:dyDescent="0.25">
      <c r="C3" s="53"/>
      <c r="D3" s="54"/>
      <c r="F3" s="58"/>
      <c r="G3" s="58"/>
      <c r="H3" s="58"/>
      <c r="I3" s="58"/>
    </row>
    <row r="4" spans="1:9" ht="17.399999999999999" x14ac:dyDescent="0.25">
      <c r="C4" s="53"/>
      <c r="D4" s="54"/>
      <c r="F4" s="58"/>
      <c r="G4" s="58"/>
      <c r="H4" s="58"/>
      <c r="I4" s="58"/>
    </row>
    <row r="5" spans="1:9" x14ac:dyDescent="0.25">
      <c r="A5" s="57"/>
    </row>
    <row r="6" spans="1:9" ht="17.399999999999999" x14ac:dyDescent="0.3">
      <c r="A6" s="306" t="str">
        <f>Koptame!C24</f>
        <v>Teritorijas labiekārtošana</v>
      </c>
      <c r="B6" s="307"/>
      <c r="C6" s="307"/>
      <c r="D6" s="307"/>
      <c r="E6" s="307"/>
      <c r="F6" s="307"/>
      <c r="G6" s="307"/>
      <c r="H6" s="307"/>
      <c r="I6" s="308"/>
    </row>
    <row r="7" spans="1:9" x14ac:dyDescent="0.25">
      <c r="A7" s="57"/>
    </row>
    <row r="8" spans="1:9" ht="15" x14ac:dyDescent="0.25">
      <c r="A8" s="309" t="s">
        <v>9</v>
      </c>
      <c r="B8" s="309"/>
      <c r="C8" s="293" t="str">
        <f>Koptame!C11</f>
        <v>Jaunlopu kūts</v>
      </c>
      <c r="D8" s="293"/>
      <c r="E8" s="293"/>
      <c r="F8" s="293"/>
      <c r="G8" s="293"/>
      <c r="H8" s="293"/>
      <c r="I8" s="293"/>
    </row>
    <row r="9" spans="1:9" ht="33.9" customHeight="1" x14ac:dyDescent="0.25">
      <c r="A9" s="298" t="s">
        <v>27</v>
      </c>
      <c r="B9" s="298"/>
      <c r="C9" s="293" t="str">
        <f>Koptame!C12</f>
        <v>Esošā šķūņa demontāža,jaunas jaunlopu kūts būvniecība un ceļu un laukumu izbūve īpašumā “Līci”,Sarkaņu pag.,Madonas nov.</v>
      </c>
      <c r="D9" s="293"/>
      <c r="E9" s="293"/>
      <c r="F9" s="293"/>
      <c r="G9" s="293"/>
      <c r="H9" s="293"/>
      <c r="I9" s="293"/>
    </row>
    <row r="10" spans="1:9" ht="15" x14ac:dyDescent="0.25">
      <c r="A10" s="298" t="s">
        <v>10</v>
      </c>
      <c r="B10" s="298"/>
      <c r="C10" s="293" t="str">
        <f>Koptame!C13</f>
        <v>“Līci”,Sarkaņu pag.,Madonas nov.</v>
      </c>
      <c r="D10" s="293"/>
      <c r="E10" s="293"/>
      <c r="F10" s="293"/>
      <c r="G10" s="293"/>
      <c r="H10" s="293"/>
      <c r="I10" s="293"/>
    </row>
    <row r="11" spans="1:9" ht="15" x14ac:dyDescent="0.25">
      <c r="A11" s="298" t="str">
        <f>Koptame!B14</f>
        <v>Pasūtījuma Nr.</v>
      </c>
      <c r="B11" s="298"/>
      <c r="C11" s="81" t="str">
        <f>Koptame!C14</f>
        <v xml:space="preserve"> L-25-10-45</v>
      </c>
      <c r="D11" s="58"/>
      <c r="F11" s="59"/>
      <c r="G11" s="59"/>
      <c r="H11" s="59"/>
      <c r="I11" s="59"/>
    </row>
    <row r="12" spans="1:9" ht="15.3" customHeight="1" x14ac:dyDescent="0.25">
      <c r="A12" s="79"/>
      <c r="B12" s="79"/>
      <c r="C12" s="58"/>
      <c r="D12" s="58"/>
      <c r="F12" s="59"/>
      <c r="G12" s="59"/>
      <c r="H12" s="59"/>
      <c r="I12" s="59"/>
    </row>
    <row r="13" spans="1:9" ht="18" customHeight="1" x14ac:dyDescent="0.25">
      <c r="A13" s="60"/>
      <c r="F13" s="302" t="s">
        <v>49</v>
      </c>
      <c r="G13" s="303"/>
      <c r="H13" s="55">
        <f>E27</f>
        <v>0</v>
      </c>
      <c r="I13" s="56"/>
    </row>
    <row r="14" spans="1:9" ht="17.399999999999999" x14ac:dyDescent="0.25">
      <c r="A14" s="60"/>
      <c r="F14" s="302" t="s">
        <v>14</v>
      </c>
      <c r="G14" s="303"/>
      <c r="H14" s="55">
        <f>I23</f>
        <v>0</v>
      </c>
      <c r="I14" s="56"/>
    </row>
    <row r="16" spans="1:9" ht="13.8" x14ac:dyDescent="0.25">
      <c r="G16" s="12"/>
      <c r="H16" s="12" t="str">
        <f>Koptame!D16</f>
        <v>Tāme sastādīta:  2026.gada 8.Aprīlī</v>
      </c>
    </row>
    <row r="17" spans="1:9" ht="15" x14ac:dyDescent="0.25">
      <c r="A17" s="61"/>
    </row>
    <row r="18" spans="1:9" ht="51.3" customHeight="1" x14ac:dyDescent="0.25">
      <c r="A18" s="294" t="s">
        <v>15</v>
      </c>
      <c r="B18" s="294" t="s">
        <v>16</v>
      </c>
      <c r="C18" s="310" t="s">
        <v>63</v>
      </c>
      <c r="D18" s="311"/>
      <c r="E18" s="294" t="s">
        <v>50</v>
      </c>
      <c r="F18" s="294" t="s">
        <v>17</v>
      </c>
      <c r="G18" s="294"/>
      <c r="H18" s="294"/>
      <c r="I18" s="294" t="s">
        <v>18</v>
      </c>
    </row>
    <row r="19" spans="1:9" ht="40.799999999999997" customHeight="1" x14ac:dyDescent="0.25">
      <c r="A19" s="294"/>
      <c r="B19" s="294"/>
      <c r="C19" s="312"/>
      <c r="D19" s="313"/>
      <c r="E19" s="294"/>
      <c r="F19" s="130" t="s">
        <v>51</v>
      </c>
      <c r="G19" s="130" t="s">
        <v>52</v>
      </c>
      <c r="H19" s="130" t="s">
        <v>53</v>
      </c>
      <c r="I19" s="294"/>
    </row>
    <row r="20" spans="1:9" ht="17.399999999999999" x14ac:dyDescent="0.25">
      <c r="A20" s="62"/>
      <c r="B20" s="63"/>
      <c r="C20" s="304"/>
      <c r="D20" s="305"/>
      <c r="E20" s="63"/>
      <c r="F20" s="63"/>
      <c r="G20" s="63"/>
      <c r="H20" s="63"/>
      <c r="I20" s="64"/>
    </row>
    <row r="21" spans="1:9" x14ac:dyDescent="0.25">
      <c r="A21" s="65">
        <v>1</v>
      </c>
      <c r="B21" s="66" t="s">
        <v>55</v>
      </c>
      <c r="C21" s="295" t="s">
        <v>37</v>
      </c>
      <c r="D21" s="296"/>
      <c r="E21" s="49">
        <f>'4,1'!P26</f>
        <v>0</v>
      </c>
      <c r="F21" s="49">
        <f>'4,1'!M26</f>
        <v>0</v>
      </c>
      <c r="G21" s="49">
        <f>'4,1'!N26</f>
        <v>0</v>
      </c>
      <c r="H21" s="49">
        <f>'4,1'!O26</f>
        <v>0</v>
      </c>
      <c r="I21" s="50">
        <f>'4,1'!L26</f>
        <v>0</v>
      </c>
    </row>
    <row r="22" spans="1:9" x14ac:dyDescent="0.25">
      <c r="A22" s="68"/>
      <c r="B22" s="69"/>
      <c r="C22" s="300"/>
      <c r="D22" s="301"/>
      <c r="E22" s="67"/>
      <c r="F22" s="139"/>
      <c r="G22" s="139"/>
      <c r="H22" s="139"/>
      <c r="I22" s="140"/>
    </row>
    <row r="23" spans="1:9" ht="16.5" customHeight="1" x14ac:dyDescent="0.25">
      <c r="A23" s="97"/>
      <c r="B23" s="97"/>
      <c r="C23" s="70" t="s">
        <v>19</v>
      </c>
      <c r="D23" s="70"/>
      <c r="E23" s="71">
        <f>SUM(E20:E22)</f>
        <v>0</v>
      </c>
      <c r="F23" s="71">
        <f t="shared" ref="F23:I23" si="0">SUM(F20:F22)</f>
        <v>0</v>
      </c>
      <c r="G23" s="71">
        <f t="shared" si="0"/>
        <v>0</v>
      </c>
      <c r="H23" s="71">
        <f t="shared" si="0"/>
        <v>0</v>
      </c>
      <c r="I23" s="71">
        <f t="shared" si="0"/>
        <v>0</v>
      </c>
    </row>
    <row r="24" spans="1:9" ht="15.6" x14ac:dyDescent="0.25">
      <c r="A24" s="297" t="s">
        <v>34</v>
      </c>
      <c r="B24" s="297"/>
      <c r="C24" s="297"/>
      <c r="D24" s="72">
        <f>kops1!$D$26</f>
        <v>0</v>
      </c>
      <c r="E24" s="73">
        <f>ROUND(E23*D24,2)</f>
        <v>0</v>
      </c>
      <c r="F24" s="59"/>
    </row>
    <row r="25" spans="1:9" ht="15.6" x14ac:dyDescent="0.3">
      <c r="A25" s="96"/>
      <c r="B25" s="96"/>
      <c r="C25" s="119" t="s">
        <v>40</v>
      </c>
      <c r="D25" s="72"/>
      <c r="E25" s="73">
        <f>E24*0.1</f>
        <v>0</v>
      </c>
      <c r="F25" s="59"/>
    </row>
    <row r="26" spans="1:9" ht="15.6" x14ac:dyDescent="0.25">
      <c r="A26" s="297" t="s">
        <v>28</v>
      </c>
      <c r="B26" s="297"/>
      <c r="C26" s="297"/>
      <c r="D26" s="72">
        <f>kops1!$D$28</f>
        <v>0</v>
      </c>
      <c r="E26" s="73">
        <f>ROUND(E23*D26,2)</f>
        <v>0</v>
      </c>
      <c r="F26" s="59"/>
    </row>
    <row r="27" spans="1:9" ht="18" customHeight="1" x14ac:dyDescent="0.25">
      <c r="A27" s="292"/>
      <c r="B27" s="292"/>
      <c r="C27" s="70" t="s">
        <v>20</v>
      </c>
      <c r="D27" s="70"/>
      <c r="E27" s="74">
        <f>E26+E24+E23</f>
        <v>0</v>
      </c>
      <c r="F27" s="59"/>
    </row>
    <row r="28" spans="1:9" ht="17.399999999999999" x14ac:dyDescent="0.3">
      <c r="A28" s="75"/>
    </row>
    <row r="29" spans="1:9" ht="17.399999999999999" x14ac:dyDescent="0.3">
      <c r="A29" s="75"/>
    </row>
    <row r="30" spans="1:9" ht="13.8" x14ac:dyDescent="0.25">
      <c r="A30" s="76"/>
      <c r="B30" s="2" t="s">
        <v>8</v>
      </c>
      <c r="C30" s="3"/>
      <c r="F30" s="59"/>
    </row>
    <row r="31" spans="1:9" ht="13.8" x14ac:dyDescent="0.25">
      <c r="A31" s="59"/>
      <c r="B31" s="3"/>
      <c r="C31" s="121">
        <f>Koptame!C34</f>
        <v>0</v>
      </c>
      <c r="D31" s="77"/>
      <c r="E31" s="77"/>
      <c r="F31" s="59"/>
    </row>
    <row r="32" spans="1:9" ht="13.8" x14ac:dyDescent="0.25">
      <c r="A32" s="78"/>
      <c r="B32" s="2"/>
      <c r="C32" s="120">
        <f>Koptame!C35</f>
        <v>0</v>
      </c>
      <c r="D32" s="59"/>
      <c r="E32" s="59"/>
      <c r="F32" s="59"/>
    </row>
    <row r="33" spans="2:3" ht="13.8" x14ac:dyDescent="0.25">
      <c r="B33" s="2"/>
      <c r="C33" s="120"/>
    </row>
    <row r="34" spans="2:3" ht="13.8" x14ac:dyDescent="0.25">
      <c r="B34" s="2"/>
    </row>
    <row r="35" spans="2:3" ht="13.8" x14ac:dyDescent="0.25">
      <c r="B35" s="4"/>
      <c r="C35" s="1"/>
    </row>
    <row r="36" spans="2:3" ht="13.8" x14ac:dyDescent="0.25">
      <c r="B36" s="2" t="str">
        <f>Koptame!B39</f>
        <v>Pārbaudīja:</v>
      </c>
      <c r="C36" s="100"/>
    </row>
    <row r="37" spans="2:3" ht="13.8" x14ac:dyDescent="0.25">
      <c r="B37" s="3"/>
      <c r="C37" s="121">
        <f>Koptame!C40</f>
        <v>0</v>
      </c>
    </row>
    <row r="38" spans="2:3" ht="13.8" x14ac:dyDescent="0.25">
      <c r="B38" s="2"/>
      <c r="C38" s="120">
        <f>Koptame!C41</f>
        <v>0</v>
      </c>
    </row>
  </sheetData>
  <mergeCells count="23">
    <mergeCell ref="A2:I2"/>
    <mergeCell ref="A6:I6"/>
    <mergeCell ref="A8:B8"/>
    <mergeCell ref="C8:I8"/>
    <mergeCell ref="A9:B9"/>
    <mergeCell ref="C9:I9"/>
    <mergeCell ref="A10:B10"/>
    <mergeCell ref="C10:I10"/>
    <mergeCell ref="A11:B11"/>
    <mergeCell ref="F13:G13"/>
    <mergeCell ref="F14:G14"/>
    <mergeCell ref="A26:C26"/>
    <mergeCell ref="A27:B27"/>
    <mergeCell ref="C22:D22"/>
    <mergeCell ref="A24:C24"/>
    <mergeCell ref="I18:I19"/>
    <mergeCell ref="C20:D20"/>
    <mergeCell ref="C21:D21"/>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A1:P36"/>
  <sheetViews>
    <sheetView showZeros="0" tabSelected="1" view="pageBreakPreview" zoomScale="90" zoomScaleNormal="80" zoomScaleSheetLayoutView="90" workbookViewId="0">
      <selection activeCell="I16" sqref="I16"/>
    </sheetView>
  </sheetViews>
  <sheetFormatPr defaultColWidth="9.109375" defaultRowHeight="13.8" x14ac:dyDescent="0.25"/>
  <cols>
    <col min="1" max="1" width="9" style="15" customWidth="1"/>
    <col min="2" max="2" width="9.33203125" style="45" customWidth="1"/>
    <col min="3" max="3" width="40.21875" style="15" customWidth="1"/>
    <col min="4" max="4" width="8.109375" style="15" customWidth="1"/>
    <col min="5" max="5" width="9.109375" style="15"/>
    <col min="6" max="7" width="9.109375" style="45"/>
    <col min="8" max="11" width="9.109375" style="15"/>
    <col min="12" max="12" width="14.33203125" style="15" customWidth="1"/>
    <col min="13" max="13" width="12.21875" style="15" customWidth="1"/>
    <col min="14" max="14" width="12.77734375" style="15" customWidth="1"/>
    <col min="15" max="15" width="11.6640625" style="15" customWidth="1"/>
    <col min="16" max="16" width="12" style="15" customWidth="1"/>
    <col min="17" max="16384" width="9.109375" style="15"/>
  </cols>
  <sheetData>
    <row r="1" spans="1:16" s="20" customFormat="1" x14ac:dyDescent="0.25">
      <c r="B1" s="42"/>
      <c r="E1" s="17"/>
      <c r="F1" s="95"/>
      <c r="G1" s="138" t="s">
        <v>60</v>
      </c>
      <c r="H1" s="98" t="str">
        <f>kops4!B21</f>
        <v>4,1</v>
      </c>
    </row>
    <row r="2" spans="1:16" s="20" customFormat="1" x14ac:dyDescent="0.25">
      <c r="A2" s="325" t="str">
        <f>C13</f>
        <v>Teritorijas labiekārtošana</v>
      </c>
      <c r="B2" s="325"/>
      <c r="C2" s="325"/>
      <c r="D2" s="325"/>
      <c r="E2" s="325"/>
      <c r="F2" s="325"/>
      <c r="G2" s="325"/>
      <c r="H2" s="325"/>
      <c r="I2" s="325"/>
      <c r="J2" s="325"/>
      <c r="K2" s="325"/>
      <c r="L2" s="325"/>
      <c r="M2" s="325"/>
      <c r="N2" s="325"/>
      <c r="O2" s="325"/>
      <c r="P2" s="325"/>
    </row>
    <row r="3" spans="1:16" x14ac:dyDescent="0.25">
      <c r="A3" s="16"/>
      <c r="B3" s="89"/>
      <c r="C3" s="16" t="s">
        <v>11</v>
      </c>
      <c r="D3" s="327" t="str">
        <f>Koptame!C11</f>
        <v>Jaunlopu kūts</v>
      </c>
      <c r="E3" s="327"/>
      <c r="F3" s="327"/>
      <c r="G3" s="327"/>
      <c r="H3" s="327"/>
      <c r="I3" s="327"/>
      <c r="J3" s="327"/>
      <c r="K3" s="327"/>
      <c r="L3" s="327"/>
      <c r="M3" s="327"/>
      <c r="N3" s="327"/>
      <c r="O3" s="327"/>
      <c r="P3" s="327"/>
    </row>
    <row r="4" spans="1:16" x14ac:dyDescent="0.25">
      <c r="A4" s="16"/>
      <c r="B4" s="89"/>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89"/>
      <c r="C5" s="16" t="s">
        <v>13</v>
      </c>
      <c r="D5" s="327" t="str">
        <f>Koptame!C13</f>
        <v>“Līci”,Sarkaņu pag.,Madonas nov.</v>
      </c>
      <c r="E5" s="327"/>
      <c r="F5" s="327"/>
      <c r="G5" s="327"/>
      <c r="H5" s="327"/>
      <c r="I5" s="327"/>
      <c r="J5" s="327"/>
      <c r="K5" s="327"/>
      <c r="L5" s="327"/>
      <c r="M5" s="327"/>
      <c r="N5" s="327"/>
      <c r="O5" s="327"/>
      <c r="P5" s="327"/>
    </row>
    <row r="6" spans="1:16" x14ac:dyDescent="0.25">
      <c r="A6" s="16"/>
      <c r="B6" s="89"/>
      <c r="C6" s="16" t="str">
        <f>Koptame!B14</f>
        <v>Pasūtījuma Nr.</v>
      </c>
      <c r="D6" s="18" t="str">
        <f>Koptame!C14</f>
        <v xml:space="preserve"> L-25-10-45</v>
      </c>
      <c r="E6" s="37"/>
      <c r="F6" s="43"/>
      <c r="G6" s="43"/>
      <c r="H6" s="37"/>
      <c r="I6" s="37"/>
      <c r="J6" s="37"/>
      <c r="K6" s="37"/>
      <c r="L6" s="37"/>
      <c r="M6" s="37"/>
      <c r="N6" s="37"/>
      <c r="O6" s="37"/>
      <c r="P6" s="21"/>
    </row>
    <row r="7" spans="1:16" x14ac:dyDescent="0.25">
      <c r="A7" s="3" t="str">
        <f>Koptame!B17</f>
        <v>Tāme sastādīta 202_.gada tirgus cenās, pamatojoties uz būvprojekta rasējumiem un darbu apjomiem</v>
      </c>
      <c r="B7" s="90"/>
      <c r="D7" s="18"/>
      <c r="E7" s="18"/>
      <c r="F7" s="44"/>
      <c r="G7" s="44"/>
      <c r="H7" s="18"/>
      <c r="I7" s="18"/>
      <c r="J7" s="18"/>
      <c r="K7" s="37"/>
      <c r="L7" s="37"/>
      <c r="M7" s="37"/>
      <c r="N7" s="37"/>
      <c r="O7" s="16" t="s">
        <v>59</v>
      </c>
      <c r="P7" s="22">
        <f>P26</f>
        <v>0</v>
      </c>
    </row>
    <row r="8" spans="1:16" x14ac:dyDescent="0.25">
      <c r="A8" s="19"/>
      <c r="B8" s="89"/>
      <c r="D8" s="23"/>
      <c r="E8" s="37"/>
      <c r="F8" s="43"/>
      <c r="G8" s="43"/>
      <c r="H8" s="37"/>
      <c r="I8" s="37"/>
      <c r="J8" s="37"/>
      <c r="K8" s="37"/>
      <c r="N8" s="37"/>
      <c r="O8" s="37"/>
      <c r="P8" s="21"/>
    </row>
    <row r="9" spans="1:16" ht="15.3" customHeight="1" x14ac:dyDescent="0.25">
      <c r="A9" s="39"/>
      <c r="B9" s="91"/>
      <c r="J9" s="38"/>
      <c r="K9" s="38"/>
      <c r="L9" s="326" t="str">
        <f>Koptame!D16</f>
        <v>Tāme sastādīta:  2026.gada 8.Aprīlī</v>
      </c>
      <c r="M9" s="326"/>
      <c r="N9" s="326"/>
      <c r="O9" s="326"/>
      <c r="P9" s="38"/>
    </row>
    <row r="10" spans="1:16" ht="15" x14ac:dyDescent="0.25">
      <c r="A10" s="39"/>
      <c r="B10" s="91"/>
    </row>
    <row r="11" spans="1:16" ht="14.25" customHeight="1" x14ac:dyDescent="0.25">
      <c r="A11" s="318" t="s">
        <v>15</v>
      </c>
      <c r="B11" s="319" t="s">
        <v>21</v>
      </c>
      <c r="C11" s="321" t="s">
        <v>64</v>
      </c>
      <c r="D11" s="322" t="s">
        <v>22</v>
      </c>
      <c r="E11" s="318" t="s">
        <v>23</v>
      </c>
      <c r="F11" s="316" t="s">
        <v>24</v>
      </c>
      <c r="G11" s="316"/>
      <c r="H11" s="316"/>
      <c r="I11" s="316"/>
      <c r="J11" s="316"/>
      <c r="K11" s="316"/>
      <c r="L11" s="316" t="s">
        <v>25</v>
      </c>
      <c r="M11" s="316"/>
      <c r="N11" s="316"/>
      <c r="O11" s="316"/>
      <c r="P11" s="316"/>
    </row>
    <row r="12" spans="1:16" ht="73.5" customHeight="1" x14ac:dyDescent="0.25">
      <c r="A12" s="318"/>
      <c r="B12" s="320"/>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178"/>
      <c r="C13" s="243" t="str">
        <f>kops4!C21</f>
        <v>Teritorijas labiekārtošana</v>
      </c>
      <c r="D13" s="179"/>
      <c r="E13" s="180"/>
      <c r="F13" s="181"/>
      <c r="G13" s="182"/>
      <c r="H13" s="182"/>
      <c r="I13" s="183"/>
      <c r="J13" s="183"/>
      <c r="K13" s="183">
        <f t="shared" ref="K13" si="0">SUM(H13:J13)</f>
        <v>0</v>
      </c>
      <c r="L13" s="184">
        <f t="shared" ref="L13" si="1">ROUND(F13*E13,2)</f>
        <v>0</v>
      </c>
      <c r="M13" s="183">
        <f t="shared" ref="M13" si="2">ROUND(H13*E13,2)</f>
        <v>0</v>
      </c>
      <c r="N13" s="183">
        <f t="shared" ref="N13" si="3">ROUND(I13*E13,2)</f>
        <v>0</v>
      </c>
      <c r="O13" s="183">
        <f t="shared" ref="O13" si="4">ROUND(J13*E13,2)</f>
        <v>0</v>
      </c>
      <c r="P13" s="185">
        <f t="shared" ref="P13" si="5">SUM(M13:O13)</f>
        <v>0</v>
      </c>
    </row>
    <row r="14" spans="1:16" s="165" customFormat="1" ht="32.1" customHeight="1" x14ac:dyDescent="0.25">
      <c r="A14" s="166">
        <v>1</v>
      </c>
      <c r="B14" s="167"/>
      <c r="C14" s="168" t="s">
        <v>160</v>
      </c>
      <c r="D14" s="169" t="s">
        <v>78</v>
      </c>
      <c r="E14" s="170">
        <v>1</v>
      </c>
      <c r="F14" s="171"/>
      <c r="G14" s="171"/>
      <c r="H14" s="172"/>
      <c r="I14" s="173"/>
      <c r="J14" s="173"/>
      <c r="K14" s="149"/>
      <c r="L14" s="150"/>
      <c r="M14" s="149"/>
      <c r="N14" s="149"/>
      <c r="O14" s="149"/>
      <c r="P14" s="151"/>
    </row>
    <row r="15" spans="1:16" s="164" customFormat="1" ht="12" x14ac:dyDescent="0.25">
      <c r="A15" s="199"/>
      <c r="B15" s="200"/>
      <c r="C15" s="201" t="s">
        <v>159</v>
      </c>
      <c r="D15" s="202"/>
      <c r="E15" s="205"/>
      <c r="F15" s="203"/>
      <c r="G15" s="203"/>
      <c r="H15" s="203"/>
      <c r="I15" s="203"/>
      <c r="J15" s="203"/>
      <c r="K15" s="203"/>
      <c r="L15" s="203"/>
      <c r="M15" s="203"/>
      <c r="N15" s="203"/>
      <c r="O15" s="203"/>
      <c r="P15" s="204"/>
    </row>
    <row r="16" spans="1:16" s="164" customFormat="1" ht="26.4" x14ac:dyDescent="0.25">
      <c r="A16" s="199">
        <v>2</v>
      </c>
      <c r="B16" s="200"/>
      <c r="C16" s="168" t="s">
        <v>96</v>
      </c>
      <c r="D16" s="169" t="s">
        <v>95</v>
      </c>
      <c r="E16" s="206">
        <f>160*2*0.4</f>
        <v>128</v>
      </c>
      <c r="F16" s="203"/>
      <c r="G16" s="203"/>
      <c r="H16" s="203"/>
      <c r="I16" s="203"/>
      <c r="J16" s="203"/>
      <c r="K16" s="203"/>
      <c r="L16" s="203"/>
      <c r="M16" s="203"/>
      <c r="N16" s="203"/>
      <c r="O16" s="203"/>
      <c r="P16" s="204"/>
    </row>
    <row r="17" spans="1:16" s="164" customFormat="1" ht="26.4" x14ac:dyDescent="0.25">
      <c r="A17" s="199">
        <v>3</v>
      </c>
      <c r="B17" s="200"/>
      <c r="C17" s="168" t="s">
        <v>97</v>
      </c>
      <c r="D17" s="169" t="s">
        <v>98</v>
      </c>
      <c r="E17" s="206">
        <v>160</v>
      </c>
      <c r="F17" s="203"/>
      <c r="G17" s="203"/>
      <c r="H17" s="203"/>
      <c r="I17" s="203"/>
      <c r="J17" s="203"/>
      <c r="K17" s="203"/>
      <c r="L17" s="203"/>
      <c r="M17" s="203"/>
      <c r="N17" s="203"/>
      <c r="O17" s="203"/>
      <c r="P17" s="204"/>
    </row>
    <row r="18" spans="1:16" s="164" customFormat="1" ht="13.2" x14ac:dyDescent="0.25">
      <c r="A18" s="199">
        <v>4</v>
      </c>
      <c r="B18" s="200"/>
      <c r="C18" s="262" t="s">
        <v>277</v>
      </c>
      <c r="D18" s="206" t="s">
        <v>75</v>
      </c>
      <c r="E18" s="206">
        <v>38</v>
      </c>
      <c r="F18" s="203"/>
      <c r="G18" s="203"/>
      <c r="H18" s="203"/>
      <c r="I18" s="203"/>
      <c r="J18" s="203"/>
      <c r="K18" s="203"/>
      <c r="L18" s="203"/>
      <c r="M18" s="203"/>
      <c r="N18" s="203"/>
      <c r="O18" s="203"/>
      <c r="P18" s="204"/>
    </row>
    <row r="19" spans="1:16" s="45" customFormat="1" ht="14.4" x14ac:dyDescent="0.25">
      <c r="B19" s="145"/>
      <c r="C19" s="201" t="s">
        <v>161</v>
      </c>
      <c r="D19" s="169"/>
      <c r="E19" s="207"/>
      <c r="F19" s="155"/>
      <c r="G19" s="155"/>
      <c r="H19" s="156"/>
      <c r="I19" s="156"/>
      <c r="J19" s="156"/>
      <c r="K19" s="149">
        <f t="shared" ref="K19:K21" si="6">SUM(H19:J19)</f>
        <v>0</v>
      </c>
      <c r="L19" s="150">
        <f t="shared" ref="L19:L21" si="7">ROUND(F19*E19,2)</f>
        <v>0</v>
      </c>
      <c r="M19" s="149">
        <f t="shared" ref="M19:M21" si="8">ROUND(H19*E19,2)</f>
        <v>0</v>
      </c>
      <c r="N19" s="149">
        <f t="shared" ref="N19:N21" si="9">ROUND(I19*E19,2)</f>
        <v>0</v>
      </c>
      <c r="O19" s="149">
        <f t="shared" ref="O19:O21" si="10">ROUND(J19*E19,2)</f>
        <v>0</v>
      </c>
      <c r="P19" s="151">
        <f t="shared" ref="P19:P21" si="11">SUM(M19:O19)</f>
        <v>0</v>
      </c>
    </row>
    <row r="20" spans="1:16" s="165" customFormat="1" ht="39.9" customHeight="1" x14ac:dyDescent="0.25">
      <c r="A20" s="199">
        <v>5</v>
      </c>
      <c r="B20" s="167"/>
      <c r="C20" s="168" t="s">
        <v>162</v>
      </c>
      <c r="D20" s="169" t="s">
        <v>29</v>
      </c>
      <c r="E20" s="206">
        <v>1327</v>
      </c>
      <c r="F20" s="171"/>
      <c r="G20" s="171"/>
      <c r="H20" s="172"/>
      <c r="I20" s="173"/>
      <c r="J20" s="173"/>
      <c r="K20" s="149"/>
      <c r="L20" s="150"/>
      <c r="M20" s="149"/>
      <c r="N20" s="149"/>
      <c r="O20" s="149"/>
      <c r="P20" s="151"/>
    </row>
    <row r="21" spans="1:16" s="45" customFormat="1" ht="26.4" x14ac:dyDescent="0.25">
      <c r="A21" s="199">
        <v>6</v>
      </c>
      <c r="B21" s="145"/>
      <c r="C21" s="168" t="s">
        <v>169</v>
      </c>
      <c r="D21" s="169" t="s">
        <v>29</v>
      </c>
      <c r="E21" s="206">
        <v>1327</v>
      </c>
      <c r="F21" s="155"/>
      <c r="G21" s="155"/>
      <c r="H21" s="156"/>
      <c r="I21" s="156"/>
      <c r="J21" s="156"/>
      <c r="K21" s="149">
        <f t="shared" si="6"/>
        <v>0</v>
      </c>
      <c r="L21" s="150">
        <f t="shared" si="7"/>
        <v>0</v>
      </c>
      <c r="M21" s="149">
        <f t="shared" si="8"/>
        <v>0</v>
      </c>
      <c r="N21" s="149">
        <f t="shared" si="9"/>
        <v>0</v>
      </c>
      <c r="O21" s="149">
        <f t="shared" si="10"/>
        <v>0</v>
      </c>
      <c r="P21" s="151">
        <f t="shared" si="11"/>
        <v>0</v>
      </c>
    </row>
    <row r="22" spans="1:16" s="45" customFormat="1" x14ac:dyDescent="0.25">
      <c r="A22" s="199">
        <v>7</v>
      </c>
      <c r="B22" s="145"/>
      <c r="C22" s="168" t="s">
        <v>170</v>
      </c>
      <c r="D22" s="169" t="s">
        <v>95</v>
      </c>
      <c r="E22" s="206">
        <v>398.1</v>
      </c>
      <c r="F22" s="155"/>
      <c r="G22" s="155"/>
      <c r="H22" s="156"/>
      <c r="I22" s="156"/>
      <c r="J22" s="156"/>
      <c r="K22" s="149"/>
      <c r="L22" s="150"/>
      <c r="M22" s="149"/>
      <c r="N22" s="149"/>
      <c r="O22" s="149"/>
      <c r="P22" s="151"/>
    </row>
    <row r="23" spans="1:16" s="45" customFormat="1" ht="26.4" x14ac:dyDescent="0.25">
      <c r="A23" s="199">
        <v>8</v>
      </c>
      <c r="B23" s="145"/>
      <c r="C23" s="168" t="s">
        <v>171</v>
      </c>
      <c r="D23" s="169" t="s">
        <v>95</v>
      </c>
      <c r="E23" s="206">
        <v>331.75</v>
      </c>
      <c r="F23" s="155"/>
      <c r="G23" s="155"/>
      <c r="H23" s="156"/>
      <c r="I23" s="156"/>
      <c r="J23" s="156"/>
      <c r="K23" s="149"/>
      <c r="L23" s="150"/>
      <c r="M23" s="149"/>
      <c r="N23" s="149"/>
      <c r="O23" s="149"/>
      <c r="P23" s="151"/>
    </row>
    <row r="24" spans="1:16" s="45" customFormat="1" ht="26.4" x14ac:dyDescent="0.25">
      <c r="A24" s="199">
        <v>9</v>
      </c>
      <c r="B24" s="145"/>
      <c r="C24" s="168" t="s">
        <v>172</v>
      </c>
      <c r="D24" s="169" t="s">
        <v>95</v>
      </c>
      <c r="E24" s="206">
        <v>185.78</v>
      </c>
      <c r="F24" s="155"/>
      <c r="G24" s="155"/>
      <c r="H24" s="156"/>
      <c r="I24" s="156"/>
      <c r="J24" s="156"/>
      <c r="K24" s="149"/>
      <c r="L24" s="150"/>
      <c r="M24" s="149"/>
      <c r="N24" s="149"/>
      <c r="O24" s="149"/>
      <c r="P24" s="151"/>
    </row>
    <row r="25" spans="1:16" x14ac:dyDescent="0.25">
      <c r="A25" s="189"/>
      <c r="B25" s="190"/>
      <c r="C25" s="191"/>
      <c r="D25" s="192"/>
      <c r="E25" s="193"/>
      <c r="F25" s="194">
        <v>0</v>
      </c>
      <c r="G25" s="194">
        <v>0</v>
      </c>
      <c r="H25" s="194"/>
      <c r="I25" s="193"/>
      <c r="J25" s="193"/>
      <c r="K25" s="193"/>
      <c r="L25" s="193"/>
      <c r="M25" s="193"/>
      <c r="N25" s="193"/>
      <c r="O25" s="193"/>
      <c r="P25" s="195"/>
    </row>
    <row r="26" spans="1:16" ht="15.3" customHeight="1" x14ac:dyDescent="0.25">
      <c r="A26" s="174"/>
      <c r="B26" s="175"/>
      <c r="C26" s="330" t="s">
        <v>71</v>
      </c>
      <c r="D26" s="331"/>
      <c r="E26" s="331"/>
      <c r="F26" s="331"/>
      <c r="G26" s="331"/>
      <c r="H26" s="331"/>
      <c r="I26" s="331"/>
      <c r="J26" s="331"/>
      <c r="K26" s="331"/>
      <c r="L26" s="176">
        <f>SUM(L13:L25)</f>
        <v>0</v>
      </c>
      <c r="M26" s="176">
        <f>SUM(M13:M25)</f>
        <v>0</v>
      </c>
      <c r="N26" s="176">
        <f>SUM(N13:N25)</f>
        <v>0</v>
      </c>
      <c r="O26" s="176">
        <f>SUM(O13:O25)</f>
        <v>0</v>
      </c>
      <c r="P26" s="176">
        <f>SUM(P13:P25)</f>
        <v>0</v>
      </c>
    </row>
    <row r="27" spans="1:16" s="101" customFormat="1" x14ac:dyDescent="0.25">
      <c r="I27" s="122"/>
    </row>
    <row r="28" spans="1:16" customFormat="1" ht="12.75" customHeight="1" x14ac:dyDescent="0.25">
      <c r="B28" s="123" t="s">
        <v>41</v>
      </c>
    </row>
    <row r="29" spans="1:16" customFormat="1" ht="45" customHeight="1" x14ac:dyDescent="0.25">
      <c r="A29" s="317"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9" s="317"/>
      <c r="C29" s="317"/>
      <c r="D29" s="317"/>
      <c r="E29" s="317"/>
      <c r="F29" s="317"/>
      <c r="G29" s="317"/>
      <c r="H29" s="317"/>
      <c r="I29" s="317"/>
      <c r="J29" s="317"/>
      <c r="K29" s="317"/>
      <c r="L29" s="317"/>
      <c r="M29" s="317"/>
      <c r="N29" s="317"/>
      <c r="O29" s="317"/>
      <c r="P29" s="317"/>
    </row>
    <row r="30" spans="1:16" customFormat="1" ht="79.5" customHeight="1" x14ac:dyDescent="0.25">
      <c r="A30" s="317">
        <f>'2,1'!$A$26</f>
        <v>0</v>
      </c>
      <c r="B30" s="317"/>
      <c r="C30" s="317"/>
      <c r="D30" s="317"/>
      <c r="E30" s="317"/>
      <c r="F30" s="317"/>
      <c r="G30" s="317"/>
      <c r="H30" s="317"/>
      <c r="I30" s="317"/>
      <c r="J30" s="317"/>
      <c r="K30" s="317"/>
      <c r="L30" s="317"/>
      <c r="M30" s="317"/>
      <c r="N30" s="317"/>
      <c r="O30" s="317"/>
      <c r="P30" s="317"/>
    </row>
    <row r="31" spans="1:16" customFormat="1" ht="12.75" customHeight="1" x14ac:dyDescent="0.25">
      <c r="B31" s="124"/>
    </row>
    <row r="32" spans="1:16" customFormat="1" ht="12.75" customHeight="1" x14ac:dyDescent="0.25">
      <c r="B32" s="124"/>
    </row>
    <row r="33" spans="2:16" s="101" customFormat="1" x14ac:dyDescent="0.25">
      <c r="B33" s="101" t="s">
        <v>8</v>
      </c>
      <c r="L33" s="129" t="str">
        <f>Koptame!B39</f>
        <v>Pārbaudīja:</v>
      </c>
      <c r="M33" s="129"/>
      <c r="N33" s="129"/>
      <c r="O33" s="129"/>
      <c r="P33" s="129"/>
    </row>
    <row r="34" spans="2:16" s="101" customFormat="1" x14ac:dyDescent="0.25">
      <c r="C34" s="121">
        <f>Koptame!C34</f>
        <v>0</v>
      </c>
      <c r="L34" s="121"/>
      <c r="M34" s="314">
        <f>Koptame!C40</f>
        <v>0</v>
      </c>
      <c r="N34" s="314"/>
      <c r="O34" s="129"/>
      <c r="P34" s="129"/>
    </row>
    <row r="35" spans="2:16" s="101" customFormat="1" x14ac:dyDescent="0.25">
      <c r="C35" s="120">
        <f>Koptame!C35</f>
        <v>0</v>
      </c>
      <c r="L35" s="120"/>
      <c r="M35" s="315">
        <f>Koptame!C41</f>
        <v>0</v>
      </c>
      <c r="N35" s="315"/>
      <c r="O35" s="129"/>
      <c r="P35" s="129"/>
    </row>
    <row r="36" spans="2:16" s="101" customFormat="1" collapsed="1" x14ac:dyDescent="0.25">
      <c r="B36" s="122"/>
      <c r="F36" s="122"/>
      <c r="G36" s="122"/>
    </row>
  </sheetData>
  <mergeCells count="17">
    <mergeCell ref="A2:P2"/>
    <mergeCell ref="D3:P3"/>
    <mergeCell ref="D4:P4"/>
    <mergeCell ref="D5:P5"/>
    <mergeCell ref="L9:O9"/>
    <mergeCell ref="F11:K11"/>
    <mergeCell ref="L11:P11"/>
    <mergeCell ref="C26:K26"/>
    <mergeCell ref="M35:N35"/>
    <mergeCell ref="M34:N34"/>
    <mergeCell ref="A30:P30"/>
    <mergeCell ref="A29:P29"/>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0"/>
  <sheetViews>
    <sheetView showZeros="0" view="pageBreakPreview" topLeftCell="A19" zoomScaleNormal="100" zoomScaleSheetLayoutView="100" workbookViewId="0">
      <selection activeCell="F33" sqref="F33"/>
    </sheetView>
  </sheetViews>
  <sheetFormatPr defaultColWidth="9.109375" defaultRowHeight="13.2" x14ac:dyDescent="0.25"/>
  <cols>
    <col min="1" max="1" width="10.21875" style="52" customWidth="1"/>
    <col min="2" max="2" width="12.77734375" style="52" customWidth="1"/>
    <col min="3" max="3" width="32.77734375" style="52" customWidth="1"/>
    <col min="4" max="4" width="10" style="52" customWidth="1"/>
    <col min="5" max="5" width="13.21875" style="52" customWidth="1"/>
    <col min="6" max="6" width="13.77734375" style="52" customWidth="1"/>
    <col min="7" max="7" width="17.6640625" style="52" customWidth="1"/>
    <col min="8" max="8" width="12.88671875" style="52" customWidth="1"/>
    <col min="9" max="9" width="16" style="52" customWidth="1"/>
    <col min="10" max="16384" width="9.109375" style="52"/>
  </cols>
  <sheetData>
    <row r="1" spans="1:9" ht="17.399999999999999" x14ac:dyDescent="0.3">
      <c r="A1" s="51"/>
    </row>
    <row r="2" spans="1:9" ht="18" customHeight="1" x14ac:dyDescent="0.3">
      <c r="A2" s="299" t="s">
        <v>65</v>
      </c>
      <c r="B2" s="299"/>
      <c r="C2" s="299"/>
      <c r="D2" s="299"/>
      <c r="E2" s="299"/>
      <c r="F2" s="299"/>
      <c r="G2" s="299"/>
      <c r="H2" s="299"/>
      <c r="I2" s="299"/>
    </row>
    <row r="3" spans="1:9" ht="17.399999999999999" x14ac:dyDescent="0.25">
      <c r="C3" s="53"/>
      <c r="D3" s="54"/>
      <c r="F3" s="58"/>
      <c r="G3" s="58"/>
      <c r="H3" s="58"/>
      <c r="I3" s="58"/>
    </row>
    <row r="4" spans="1:9" ht="17.399999999999999" x14ac:dyDescent="0.25">
      <c r="C4" s="53"/>
      <c r="D4" s="54"/>
      <c r="F4" s="58"/>
      <c r="G4" s="58"/>
      <c r="H4" s="58"/>
      <c r="I4" s="58"/>
    </row>
    <row r="5" spans="1:9" x14ac:dyDescent="0.25">
      <c r="A5" s="57"/>
    </row>
    <row r="6" spans="1:9" ht="17.399999999999999" x14ac:dyDescent="0.3">
      <c r="A6" s="306" t="str">
        <f>Koptame!C21</f>
        <v>Vispārējie būvdarbi</v>
      </c>
      <c r="B6" s="307"/>
      <c r="C6" s="307"/>
      <c r="D6" s="307"/>
      <c r="E6" s="307"/>
      <c r="F6" s="307"/>
      <c r="G6" s="307"/>
      <c r="H6" s="307"/>
      <c r="I6" s="308"/>
    </row>
    <row r="7" spans="1:9" x14ac:dyDescent="0.25">
      <c r="A7" s="57"/>
    </row>
    <row r="8" spans="1:9" ht="15" x14ac:dyDescent="0.25">
      <c r="A8" s="309" t="s">
        <v>9</v>
      </c>
      <c r="B8" s="309"/>
      <c r="C8" s="293" t="str">
        <f>Koptame!C11</f>
        <v>Jaunlopu kūts</v>
      </c>
      <c r="D8" s="293"/>
      <c r="E8" s="293"/>
      <c r="F8" s="293"/>
      <c r="G8" s="293"/>
      <c r="H8" s="293"/>
      <c r="I8" s="293"/>
    </row>
    <row r="9" spans="1:9" ht="36" customHeight="1" x14ac:dyDescent="0.25">
      <c r="A9" s="298" t="s">
        <v>27</v>
      </c>
      <c r="B9" s="298"/>
      <c r="C9" s="293" t="str">
        <f>Koptame!C12</f>
        <v>Esošā šķūņa demontāža,jaunas jaunlopu kūts būvniecība un ceļu un laukumu izbūve īpašumā “Līci”,Sarkaņu pag.,Madonas nov.</v>
      </c>
      <c r="D9" s="293"/>
      <c r="E9" s="293"/>
      <c r="F9" s="293"/>
      <c r="G9" s="293"/>
      <c r="H9" s="293"/>
      <c r="I9" s="293"/>
    </row>
    <row r="10" spans="1:9" ht="15" x14ac:dyDescent="0.25">
      <c r="A10" s="298" t="s">
        <v>10</v>
      </c>
      <c r="B10" s="298"/>
      <c r="C10" s="293" t="str">
        <f>Koptame!C13</f>
        <v>“Līci”,Sarkaņu pag.,Madonas nov.</v>
      </c>
      <c r="D10" s="293"/>
      <c r="E10" s="293"/>
      <c r="F10" s="293"/>
      <c r="G10" s="293"/>
      <c r="H10" s="293"/>
      <c r="I10" s="293"/>
    </row>
    <row r="11" spans="1:9" ht="15" x14ac:dyDescent="0.25">
      <c r="A11" s="298" t="str">
        <f>Koptame!B14</f>
        <v>Pasūtījuma Nr.</v>
      </c>
      <c r="B11" s="298"/>
      <c r="C11" s="81" t="str">
        <f>Koptame!C14</f>
        <v xml:space="preserve"> L-25-10-45</v>
      </c>
      <c r="D11" s="58"/>
      <c r="F11" s="59"/>
      <c r="G11" s="59"/>
      <c r="H11" s="59"/>
      <c r="I11" s="59"/>
    </row>
    <row r="12" spans="1:9" ht="15.3" customHeight="1" x14ac:dyDescent="0.25">
      <c r="A12" s="79"/>
      <c r="B12" s="79"/>
      <c r="C12" s="58"/>
      <c r="D12" s="58"/>
      <c r="F12" s="59"/>
      <c r="G12" s="59"/>
      <c r="H12" s="59"/>
      <c r="I12" s="59"/>
    </row>
    <row r="13" spans="1:9" ht="18" customHeight="1" x14ac:dyDescent="0.25">
      <c r="A13" s="60"/>
      <c r="F13" s="302" t="s">
        <v>49</v>
      </c>
      <c r="G13" s="303"/>
      <c r="H13" s="55">
        <f>E29</f>
        <v>0</v>
      </c>
      <c r="I13" s="56"/>
    </row>
    <row r="14" spans="1:9" ht="17.399999999999999" x14ac:dyDescent="0.25">
      <c r="A14" s="60"/>
      <c r="F14" s="302" t="s">
        <v>14</v>
      </c>
      <c r="G14" s="303"/>
      <c r="H14" s="55">
        <f>I25</f>
        <v>0</v>
      </c>
      <c r="I14" s="56"/>
    </row>
    <row r="15" spans="1:9" x14ac:dyDescent="0.25">
      <c r="H15" s="136">
        <f>H14+kops2!H14+kops3!H14+kops4!H14</f>
        <v>0</v>
      </c>
    </row>
    <row r="16" spans="1:9" ht="13.8" x14ac:dyDescent="0.25">
      <c r="G16" s="12"/>
      <c r="H16" s="12" t="str">
        <f>Koptame!D16</f>
        <v>Tāme sastādīta:  2026.gada 8.Aprīlī</v>
      </c>
    </row>
    <row r="17" spans="1:9" ht="15" x14ac:dyDescent="0.25">
      <c r="A17" s="61"/>
    </row>
    <row r="18" spans="1:9" ht="51.3" customHeight="1" x14ac:dyDescent="0.25">
      <c r="A18" s="294" t="s">
        <v>15</v>
      </c>
      <c r="B18" s="294" t="s">
        <v>16</v>
      </c>
      <c r="C18" s="310" t="s">
        <v>63</v>
      </c>
      <c r="D18" s="311"/>
      <c r="E18" s="294" t="s">
        <v>50</v>
      </c>
      <c r="F18" s="294" t="s">
        <v>17</v>
      </c>
      <c r="G18" s="294"/>
      <c r="H18" s="294"/>
      <c r="I18" s="294" t="s">
        <v>18</v>
      </c>
    </row>
    <row r="19" spans="1:9" ht="40.799999999999997" customHeight="1" x14ac:dyDescent="0.25">
      <c r="A19" s="294"/>
      <c r="B19" s="294"/>
      <c r="C19" s="312"/>
      <c r="D19" s="313"/>
      <c r="E19" s="294"/>
      <c r="F19" s="130" t="s">
        <v>51</v>
      </c>
      <c r="G19" s="130" t="s">
        <v>61</v>
      </c>
      <c r="H19" s="130" t="s">
        <v>53</v>
      </c>
      <c r="I19" s="294"/>
    </row>
    <row r="20" spans="1:9" ht="17.399999999999999" x14ac:dyDescent="0.25">
      <c r="A20" s="62"/>
      <c r="B20" s="63"/>
      <c r="C20" s="304"/>
      <c r="D20" s="305"/>
      <c r="E20" s="63"/>
      <c r="F20" s="63"/>
      <c r="G20" s="63"/>
      <c r="H20" s="63"/>
      <c r="I20" s="64"/>
    </row>
    <row r="21" spans="1:9" x14ac:dyDescent="0.25">
      <c r="A21" s="65">
        <v>1</v>
      </c>
      <c r="B21" s="66" t="s">
        <v>32</v>
      </c>
      <c r="C21" s="295" t="s">
        <v>89</v>
      </c>
      <c r="D21" s="296"/>
      <c r="E21" s="49">
        <f>'1,1'!P27</f>
        <v>0</v>
      </c>
      <c r="F21" s="49">
        <f>'1,1'!M27</f>
        <v>0</v>
      </c>
      <c r="G21" s="49">
        <f>'1,1'!N27</f>
        <v>0</v>
      </c>
      <c r="H21" s="49">
        <f>'1,1'!O27</f>
        <v>0</v>
      </c>
      <c r="I21" s="50">
        <f>'1,1'!L27</f>
        <v>0</v>
      </c>
    </row>
    <row r="22" spans="1:9" x14ac:dyDescent="0.25">
      <c r="A22" s="65">
        <v>2</v>
      </c>
      <c r="B22" s="66" t="s">
        <v>39</v>
      </c>
      <c r="C22" s="295" t="s">
        <v>106</v>
      </c>
      <c r="D22" s="296"/>
      <c r="E22" s="49">
        <f>'1,2'!P20</f>
        <v>0</v>
      </c>
      <c r="F22" s="49">
        <f>'1,2'!M20</f>
        <v>0</v>
      </c>
      <c r="G22" s="49">
        <f>'1,2'!N20</f>
        <v>0</v>
      </c>
      <c r="H22" s="49">
        <f>'1,2'!O20</f>
        <v>0</v>
      </c>
      <c r="I22" s="50">
        <f>'1,2'!L20</f>
        <v>0</v>
      </c>
    </row>
    <row r="23" spans="1:9" x14ac:dyDescent="0.25">
      <c r="A23" s="65">
        <v>3</v>
      </c>
      <c r="B23" s="66" t="s">
        <v>33</v>
      </c>
      <c r="C23" s="295" t="s">
        <v>90</v>
      </c>
      <c r="D23" s="296"/>
      <c r="E23" s="49"/>
      <c r="F23" s="49"/>
      <c r="G23" s="49"/>
      <c r="H23" s="49"/>
      <c r="I23" s="50"/>
    </row>
    <row r="24" spans="1:9" x14ac:dyDescent="0.25">
      <c r="A24" s="68"/>
      <c r="B24" s="69"/>
      <c r="C24" s="300"/>
      <c r="D24" s="301"/>
      <c r="E24" s="67"/>
      <c r="F24" s="139"/>
      <c r="G24" s="139"/>
      <c r="H24" s="139"/>
      <c r="I24" s="140"/>
    </row>
    <row r="25" spans="1:9" ht="16.5" customHeight="1" x14ac:dyDescent="0.25">
      <c r="A25" s="97"/>
      <c r="B25" s="97"/>
      <c r="C25" s="70" t="s">
        <v>19</v>
      </c>
      <c r="D25" s="70"/>
      <c r="E25" s="71">
        <f>SUM(E20:E24)</f>
        <v>0</v>
      </c>
      <c r="F25" s="71">
        <f>SUM(F20:F24)</f>
        <v>0</v>
      </c>
      <c r="G25" s="71">
        <f>SUM(G20:G24)</f>
        <v>0</v>
      </c>
      <c r="H25" s="71">
        <f>SUM(H20:H24)</f>
        <v>0</v>
      </c>
      <c r="I25" s="71">
        <f>SUM(I20:I24)</f>
        <v>0</v>
      </c>
    </row>
    <row r="26" spans="1:9" ht="15.6" x14ac:dyDescent="0.25">
      <c r="A26" s="297" t="s">
        <v>34</v>
      </c>
      <c r="B26" s="297"/>
      <c r="C26" s="297"/>
      <c r="D26" s="72"/>
      <c r="E26" s="73">
        <f>ROUND(E25*D26,2)</f>
        <v>0</v>
      </c>
      <c r="F26" s="59"/>
    </row>
    <row r="27" spans="1:9" ht="15.6" x14ac:dyDescent="0.3">
      <c r="A27" s="96"/>
      <c r="B27" s="96"/>
      <c r="C27" s="119" t="s">
        <v>40</v>
      </c>
      <c r="D27" s="72"/>
      <c r="E27" s="73">
        <f>E26*0.1</f>
        <v>0</v>
      </c>
      <c r="F27" s="59"/>
    </row>
    <row r="28" spans="1:9" ht="15.6" x14ac:dyDescent="0.25">
      <c r="A28" s="297" t="s">
        <v>28</v>
      </c>
      <c r="B28" s="297"/>
      <c r="C28" s="297"/>
      <c r="D28" s="72"/>
      <c r="E28" s="73">
        <f>ROUND(E25*D28,2)</f>
        <v>0</v>
      </c>
      <c r="F28" s="59"/>
    </row>
    <row r="29" spans="1:9" ht="18" customHeight="1" x14ac:dyDescent="0.25">
      <c r="A29" s="292"/>
      <c r="B29" s="292"/>
      <c r="C29" s="70" t="s">
        <v>20</v>
      </c>
      <c r="D29" s="70"/>
      <c r="E29" s="74">
        <f>E28+E26+E25</f>
        <v>0</v>
      </c>
      <c r="F29" s="59"/>
    </row>
    <row r="30" spans="1:9" ht="17.399999999999999" x14ac:dyDescent="0.3">
      <c r="A30" s="75"/>
    </row>
    <row r="31" spans="1:9" ht="17.399999999999999" x14ac:dyDescent="0.3">
      <c r="A31" s="75"/>
    </row>
    <row r="32" spans="1:9" ht="13.8" x14ac:dyDescent="0.25">
      <c r="A32" s="76"/>
      <c r="B32" s="2" t="s">
        <v>8</v>
      </c>
      <c r="C32" s="3"/>
      <c r="F32" s="59"/>
    </row>
    <row r="33" spans="1:6" ht="13.8" x14ac:dyDescent="0.25">
      <c r="A33" s="59"/>
      <c r="B33" s="3"/>
      <c r="C33" s="121">
        <f>Koptame!C34</f>
        <v>0</v>
      </c>
      <c r="D33" s="77"/>
      <c r="E33" s="77"/>
      <c r="F33" s="59"/>
    </row>
    <row r="34" spans="1:6" ht="13.8" x14ac:dyDescent="0.25">
      <c r="A34" s="78"/>
      <c r="B34" s="2"/>
      <c r="C34" s="120">
        <f>Koptame!C35</f>
        <v>0</v>
      </c>
      <c r="D34" s="59"/>
      <c r="E34" s="59"/>
      <c r="F34" s="59"/>
    </row>
    <row r="35" spans="1:6" ht="13.8" x14ac:dyDescent="0.25">
      <c r="B35" s="2"/>
      <c r="C35" s="120"/>
    </row>
    <row r="36" spans="1:6" ht="13.8" x14ac:dyDescent="0.25">
      <c r="B36" s="2"/>
    </row>
    <row r="37" spans="1:6" ht="13.8" x14ac:dyDescent="0.25">
      <c r="B37" s="4"/>
      <c r="C37" s="1"/>
    </row>
    <row r="38" spans="1:6" ht="13.8" x14ac:dyDescent="0.25">
      <c r="B38" s="2" t="str">
        <f>Koptame!B39</f>
        <v>Pārbaudīja:</v>
      </c>
      <c r="C38" s="100"/>
    </row>
    <row r="39" spans="1:6" ht="13.8" x14ac:dyDescent="0.25">
      <c r="B39" s="3"/>
      <c r="C39" s="121">
        <f>Koptame!C40</f>
        <v>0</v>
      </c>
    </row>
    <row r="40" spans="1:6" ht="13.8" x14ac:dyDescent="0.25">
      <c r="B40" s="2"/>
      <c r="C40" s="120">
        <f>Koptame!C41</f>
        <v>0</v>
      </c>
    </row>
  </sheetData>
  <mergeCells count="25">
    <mergeCell ref="A2:I2"/>
    <mergeCell ref="C24:D24"/>
    <mergeCell ref="F13:G13"/>
    <mergeCell ref="F14:G14"/>
    <mergeCell ref="C20:D20"/>
    <mergeCell ref="C21:D21"/>
    <mergeCell ref="A18:A19"/>
    <mergeCell ref="A6:I6"/>
    <mergeCell ref="A8:B8"/>
    <mergeCell ref="I18:I19"/>
    <mergeCell ref="A11:B11"/>
    <mergeCell ref="B18:B19"/>
    <mergeCell ref="C18:D19"/>
    <mergeCell ref="A29:B29"/>
    <mergeCell ref="C8:I8"/>
    <mergeCell ref="C9:I9"/>
    <mergeCell ref="C10:I10"/>
    <mergeCell ref="E18:E19"/>
    <mergeCell ref="F18:H18"/>
    <mergeCell ref="C22:D22"/>
    <mergeCell ref="C23:D23"/>
    <mergeCell ref="A26:C26"/>
    <mergeCell ref="A28:C28"/>
    <mergeCell ref="A9:B9"/>
    <mergeCell ref="A10:B1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P37"/>
  <sheetViews>
    <sheetView showZeros="0" view="pageBreakPreview" topLeftCell="A19" zoomScale="90" zoomScaleNormal="80" zoomScaleSheetLayoutView="90" workbookViewId="0">
      <selection activeCell="G18" sqref="G18"/>
    </sheetView>
  </sheetViews>
  <sheetFormatPr defaultColWidth="9.109375" defaultRowHeight="13.8" x14ac:dyDescent="0.25"/>
  <cols>
    <col min="1" max="1" width="9" style="15" customWidth="1"/>
    <col min="2" max="2" width="9.33203125" style="45" customWidth="1"/>
    <col min="3" max="3" width="40.21875" style="15" customWidth="1"/>
    <col min="4" max="4" width="8.109375" style="15" customWidth="1"/>
    <col min="5" max="5" width="9.109375" style="15"/>
    <col min="6" max="7" width="9.109375" style="45"/>
    <col min="8" max="11" width="9.109375" style="15"/>
    <col min="12" max="12" width="14.33203125" style="15" customWidth="1"/>
    <col min="13" max="13" width="12.21875" style="15" customWidth="1"/>
    <col min="14" max="14" width="12.77734375" style="15" customWidth="1"/>
    <col min="15" max="15" width="11.6640625" style="15" customWidth="1"/>
    <col min="16" max="16" width="12.88671875" style="15" customWidth="1"/>
    <col min="17" max="16384" width="9.109375" style="15"/>
  </cols>
  <sheetData>
    <row r="1" spans="1:16" s="20" customFormat="1" x14ac:dyDescent="0.25">
      <c r="B1" s="42"/>
      <c r="E1" s="17"/>
      <c r="F1" s="95"/>
      <c r="G1" s="137" t="s">
        <v>60</v>
      </c>
      <c r="H1" s="98" t="str">
        <f>kops1!B21</f>
        <v>1,1</v>
      </c>
    </row>
    <row r="2" spans="1:16" s="20" customFormat="1" x14ac:dyDescent="0.25">
      <c r="A2" s="325" t="str">
        <f>C13</f>
        <v>Sagatavošanas darbi, būvlaukuma uzturēšana</v>
      </c>
      <c r="B2" s="325"/>
      <c r="C2" s="325"/>
      <c r="D2" s="325"/>
      <c r="E2" s="325"/>
      <c r="F2" s="325"/>
      <c r="G2" s="325"/>
      <c r="H2" s="325"/>
      <c r="I2" s="325"/>
      <c r="J2" s="325"/>
      <c r="K2" s="325"/>
      <c r="L2" s="325"/>
      <c r="M2" s="325"/>
      <c r="N2" s="325"/>
      <c r="O2" s="325"/>
      <c r="P2" s="325"/>
    </row>
    <row r="3" spans="1:16" x14ac:dyDescent="0.25">
      <c r="A3" s="16"/>
      <c r="B3" s="89"/>
      <c r="C3" s="16" t="s">
        <v>11</v>
      </c>
      <c r="D3" s="327" t="str">
        <f>Koptame!C11</f>
        <v>Jaunlopu kūts</v>
      </c>
      <c r="E3" s="327"/>
      <c r="F3" s="327"/>
      <c r="G3" s="327"/>
      <c r="H3" s="327"/>
      <c r="I3" s="327"/>
      <c r="J3" s="327"/>
      <c r="K3" s="327"/>
      <c r="L3" s="327"/>
      <c r="M3" s="327"/>
      <c r="N3" s="327"/>
      <c r="O3" s="327"/>
      <c r="P3" s="327"/>
    </row>
    <row r="4" spans="1:16" ht="21.6" customHeight="1" x14ac:dyDescent="0.25">
      <c r="A4" s="16"/>
      <c r="B4" s="89"/>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89"/>
      <c r="C5" s="16" t="s">
        <v>13</v>
      </c>
      <c r="D5" s="327" t="str">
        <f>Koptame!C13</f>
        <v>“Līci”,Sarkaņu pag.,Madonas nov.</v>
      </c>
      <c r="E5" s="327"/>
      <c r="F5" s="327"/>
      <c r="G5" s="327"/>
      <c r="H5" s="327"/>
      <c r="I5" s="327"/>
      <c r="J5" s="327"/>
      <c r="K5" s="327"/>
      <c r="L5" s="327"/>
      <c r="M5" s="327"/>
      <c r="N5" s="327"/>
      <c r="O5" s="327"/>
      <c r="P5" s="327"/>
    </row>
    <row r="6" spans="1:16" x14ac:dyDescent="0.25">
      <c r="A6" s="16"/>
      <c r="B6" s="89"/>
      <c r="C6" s="16" t="str">
        <f>Koptame!B14</f>
        <v>Pasūtījuma Nr.</v>
      </c>
      <c r="D6" s="18" t="str">
        <f>Koptame!C14</f>
        <v xml:space="preserve"> L-25-10-45</v>
      </c>
      <c r="E6" s="37"/>
      <c r="F6" s="43"/>
      <c r="G6" s="43"/>
      <c r="H6" s="37"/>
      <c r="I6" s="37"/>
      <c r="J6" s="37"/>
      <c r="K6" s="37"/>
      <c r="L6" s="37"/>
      <c r="M6" s="37"/>
      <c r="N6" s="37"/>
      <c r="O6" s="37"/>
      <c r="P6" s="21"/>
    </row>
    <row r="7" spans="1:16" x14ac:dyDescent="0.25">
      <c r="A7" s="3" t="str">
        <f>Koptame!B17</f>
        <v>Tāme sastādīta 202_.gada tirgus cenās, pamatojoties uz būvprojekta rasējumiem un darbu apjomiem</v>
      </c>
      <c r="B7" s="90"/>
      <c r="D7" s="18"/>
      <c r="E7" s="18"/>
      <c r="F7" s="44"/>
      <c r="G7" s="44"/>
      <c r="H7" s="18"/>
      <c r="I7" s="18"/>
      <c r="J7" s="18"/>
      <c r="K7" s="37"/>
      <c r="L7" s="37"/>
      <c r="M7" s="37"/>
      <c r="N7" s="37"/>
      <c r="O7" s="16" t="s">
        <v>59</v>
      </c>
      <c r="P7" s="22">
        <f>P27</f>
        <v>0</v>
      </c>
    </row>
    <row r="8" spans="1:16" x14ac:dyDescent="0.25">
      <c r="A8" s="19"/>
      <c r="B8" s="89"/>
      <c r="D8" s="23"/>
      <c r="E8" s="37"/>
      <c r="F8" s="43"/>
      <c r="G8" s="43"/>
      <c r="H8" s="37"/>
      <c r="I8" s="37"/>
      <c r="J8" s="37"/>
      <c r="K8" s="37"/>
      <c r="N8" s="37"/>
      <c r="O8" s="37"/>
      <c r="P8" s="21"/>
    </row>
    <row r="9" spans="1:16" ht="15.3" customHeight="1" x14ac:dyDescent="0.25">
      <c r="A9" s="39"/>
      <c r="B9" s="91"/>
      <c r="J9" s="38"/>
      <c r="K9" s="38"/>
      <c r="L9" s="326" t="str">
        <f>Koptame!D16</f>
        <v>Tāme sastādīta:  2026.gada 8.Aprīlī</v>
      </c>
      <c r="M9" s="326"/>
      <c r="N9" s="326"/>
      <c r="O9" s="326"/>
      <c r="P9" s="38"/>
    </row>
    <row r="10" spans="1:16" ht="15" x14ac:dyDescent="0.25">
      <c r="A10" s="39"/>
      <c r="B10" s="91"/>
    </row>
    <row r="11" spans="1:16" ht="14.25" customHeight="1" x14ac:dyDescent="0.25">
      <c r="A11" s="318" t="s">
        <v>15</v>
      </c>
      <c r="B11" s="319" t="s">
        <v>21</v>
      </c>
      <c r="C11" s="321" t="s">
        <v>64</v>
      </c>
      <c r="D11" s="322" t="s">
        <v>22</v>
      </c>
      <c r="E11" s="318" t="s">
        <v>23</v>
      </c>
      <c r="F11" s="316" t="s">
        <v>24</v>
      </c>
      <c r="G11" s="316"/>
      <c r="H11" s="316"/>
      <c r="I11" s="316"/>
      <c r="J11" s="316"/>
      <c r="K11" s="316"/>
      <c r="L11" s="316" t="s">
        <v>25</v>
      </c>
      <c r="M11" s="316"/>
      <c r="N11" s="316"/>
      <c r="O11" s="316"/>
      <c r="P11" s="316"/>
    </row>
    <row r="12" spans="1:16" ht="73.5" customHeight="1" x14ac:dyDescent="0.25">
      <c r="A12" s="318"/>
      <c r="B12" s="320"/>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31.2" x14ac:dyDescent="0.25">
      <c r="A13" s="24"/>
      <c r="B13" s="80"/>
      <c r="C13" s="242" t="str">
        <f>kops1!C21</f>
        <v>Sagatavošanas darbi, būvlaukuma uzturēšana</v>
      </c>
      <c r="D13" s="13"/>
      <c r="E13" s="14"/>
      <c r="F13" s="47"/>
      <c r="G13" s="27"/>
      <c r="H13" s="27"/>
      <c r="I13" s="25"/>
      <c r="J13" s="25"/>
      <c r="K13" s="25">
        <f t="shared" ref="K13" si="0">SUM(H13:J13)</f>
        <v>0</v>
      </c>
      <c r="L13" s="26">
        <f t="shared" ref="L13" si="1">ROUND(F13*E13,2)</f>
        <v>0</v>
      </c>
      <c r="M13" s="25">
        <f t="shared" ref="M13" si="2">ROUND(H13*E13,2)</f>
        <v>0</v>
      </c>
      <c r="N13" s="25">
        <f t="shared" ref="N13" si="3">ROUND(I13*E13,2)</f>
        <v>0</v>
      </c>
      <c r="O13" s="25">
        <f t="shared" ref="O13" si="4">ROUND(J13*E13,2)</f>
        <v>0</v>
      </c>
      <c r="P13" s="28">
        <f t="shared" ref="P13" si="5">SUM(M13:O13)</f>
        <v>0</v>
      </c>
    </row>
    <row r="14" spans="1:16" s="45" customFormat="1" ht="39.6" x14ac:dyDescent="0.25">
      <c r="A14" s="83">
        <v>1</v>
      </c>
      <c r="B14" s="92"/>
      <c r="C14" s="168" t="s">
        <v>79</v>
      </c>
      <c r="D14" s="82" t="s">
        <v>78</v>
      </c>
      <c r="E14" s="241">
        <v>1</v>
      </c>
      <c r="F14" s="87">
        <f t="shared" ref="F14:F24" si="6">IFERROR(ROUND(H14/G14,2),0)</f>
        <v>0</v>
      </c>
      <c r="G14" s="87">
        <f t="shared" ref="G14:G24" si="7">IF(H14&gt;0,5,0)</f>
        <v>0</v>
      </c>
      <c r="H14" s="27"/>
      <c r="I14" s="27"/>
      <c r="J14" s="27"/>
      <c r="K14" s="84">
        <f t="shared" ref="K14:K24" si="8">SUM(H14:J14)</f>
        <v>0</v>
      </c>
      <c r="L14" s="41">
        <f t="shared" ref="L14:L24" si="9">ROUND(F14*E14,2)</f>
        <v>0</v>
      </c>
      <c r="M14" s="84">
        <f t="shared" ref="M14:M24" si="10">ROUND(H14*E14,2)</f>
        <v>0</v>
      </c>
      <c r="N14" s="84">
        <f t="shared" ref="N14:N24" si="11">ROUND(I14*E14,2)</f>
        <v>0</v>
      </c>
      <c r="O14" s="84">
        <f t="shared" ref="O14:O24" si="12">ROUND(J14*E14,2)</f>
        <v>0</v>
      </c>
      <c r="P14" s="85">
        <f t="shared" ref="P14:P24" si="13">SUM(M14:O14)</f>
        <v>0</v>
      </c>
    </row>
    <row r="15" spans="1:16" s="45" customFormat="1" ht="38.1" customHeight="1" x14ac:dyDescent="0.25">
      <c r="A15" s="83">
        <v>2</v>
      </c>
      <c r="B15" s="92"/>
      <c r="C15" s="168" t="s">
        <v>80</v>
      </c>
      <c r="D15" s="82" t="s">
        <v>78</v>
      </c>
      <c r="E15" s="241">
        <v>1</v>
      </c>
      <c r="F15" s="87">
        <f t="shared" si="6"/>
        <v>0</v>
      </c>
      <c r="G15" s="87">
        <f t="shared" si="7"/>
        <v>0</v>
      </c>
      <c r="H15" s="27"/>
      <c r="I15" s="27"/>
      <c r="J15" s="27"/>
      <c r="K15" s="84">
        <f t="shared" si="8"/>
        <v>0</v>
      </c>
      <c r="L15" s="41">
        <f t="shared" si="9"/>
        <v>0</v>
      </c>
      <c r="M15" s="84">
        <f t="shared" si="10"/>
        <v>0</v>
      </c>
      <c r="N15" s="84">
        <f t="shared" si="11"/>
        <v>0</v>
      </c>
      <c r="O15" s="84">
        <f t="shared" si="12"/>
        <v>0</v>
      </c>
      <c r="P15" s="85">
        <f t="shared" si="13"/>
        <v>0</v>
      </c>
    </row>
    <row r="16" spans="1:16" s="45" customFormat="1" ht="39.6" x14ac:dyDescent="0.25">
      <c r="A16" s="83">
        <v>3</v>
      </c>
      <c r="B16" s="92"/>
      <c r="C16" s="168" t="s">
        <v>81</v>
      </c>
      <c r="D16" s="82" t="s">
        <v>78</v>
      </c>
      <c r="E16" s="241">
        <v>1</v>
      </c>
      <c r="F16" s="87">
        <f t="shared" si="6"/>
        <v>0</v>
      </c>
      <c r="G16" s="87">
        <f t="shared" si="7"/>
        <v>0</v>
      </c>
      <c r="H16" s="27"/>
      <c r="I16" s="27"/>
      <c r="J16" s="27"/>
      <c r="K16" s="84">
        <f t="shared" si="8"/>
        <v>0</v>
      </c>
      <c r="L16" s="41">
        <f t="shared" si="9"/>
        <v>0</v>
      </c>
      <c r="M16" s="84">
        <f t="shared" si="10"/>
        <v>0</v>
      </c>
      <c r="N16" s="84">
        <f t="shared" si="11"/>
        <v>0</v>
      </c>
      <c r="O16" s="84">
        <f t="shared" si="12"/>
        <v>0</v>
      </c>
      <c r="P16" s="85">
        <f t="shared" si="13"/>
        <v>0</v>
      </c>
    </row>
    <row r="17" spans="1:16" s="45" customFormat="1" ht="38.700000000000003" customHeight="1" x14ac:dyDescent="0.25">
      <c r="A17" s="83">
        <v>4</v>
      </c>
      <c r="B17" s="92"/>
      <c r="C17" s="168" t="s">
        <v>105</v>
      </c>
      <c r="D17" s="82" t="s">
        <v>78</v>
      </c>
      <c r="E17" s="241">
        <v>3</v>
      </c>
      <c r="F17" s="87">
        <f t="shared" si="6"/>
        <v>0</v>
      </c>
      <c r="G17" s="87">
        <f t="shared" si="7"/>
        <v>0</v>
      </c>
      <c r="H17" s="27"/>
      <c r="I17" s="27"/>
      <c r="J17" s="27"/>
      <c r="K17" s="84">
        <f t="shared" si="8"/>
        <v>0</v>
      </c>
      <c r="L17" s="41">
        <f t="shared" si="9"/>
        <v>0</v>
      </c>
      <c r="M17" s="84">
        <f t="shared" si="10"/>
        <v>0</v>
      </c>
      <c r="N17" s="84">
        <f t="shared" si="11"/>
        <v>0</v>
      </c>
      <c r="O17" s="84">
        <f t="shared" si="12"/>
        <v>0</v>
      </c>
      <c r="P17" s="85">
        <f t="shared" si="13"/>
        <v>0</v>
      </c>
    </row>
    <row r="18" spans="1:16" s="45" customFormat="1" ht="26.4" x14ac:dyDescent="0.25">
      <c r="A18" s="83">
        <v>5</v>
      </c>
      <c r="B18" s="92"/>
      <c r="C18" s="168" t="s">
        <v>82</v>
      </c>
      <c r="D18" s="82" t="s">
        <v>78</v>
      </c>
      <c r="E18" s="241">
        <v>1</v>
      </c>
      <c r="F18" s="87">
        <f t="shared" si="6"/>
        <v>0</v>
      </c>
      <c r="G18" s="87">
        <f t="shared" si="7"/>
        <v>0</v>
      </c>
      <c r="H18" s="27"/>
      <c r="I18" s="27"/>
      <c r="J18" s="27"/>
      <c r="K18" s="84">
        <f t="shared" si="8"/>
        <v>0</v>
      </c>
      <c r="L18" s="41">
        <f t="shared" si="9"/>
        <v>0</v>
      </c>
      <c r="M18" s="84">
        <f t="shared" si="10"/>
        <v>0</v>
      </c>
      <c r="N18" s="84">
        <f t="shared" si="11"/>
        <v>0</v>
      </c>
      <c r="O18" s="84">
        <f t="shared" si="12"/>
        <v>0</v>
      </c>
      <c r="P18" s="85">
        <f t="shared" si="13"/>
        <v>0</v>
      </c>
    </row>
    <row r="19" spans="1:16" s="45" customFormat="1" x14ac:dyDescent="0.25">
      <c r="A19" s="83">
        <v>6</v>
      </c>
      <c r="B19" s="92"/>
      <c r="C19" s="168" t="s">
        <v>77</v>
      </c>
      <c r="D19" s="82" t="s">
        <v>76</v>
      </c>
      <c r="E19" s="241">
        <v>1</v>
      </c>
      <c r="F19" s="87">
        <f>IFERROR(ROUND(H19/G19,2),0)</f>
        <v>0</v>
      </c>
      <c r="G19" s="87">
        <f>IF(H19&gt;0,5,0)</f>
        <v>0</v>
      </c>
      <c r="H19" s="27"/>
      <c r="I19" s="27"/>
      <c r="J19" s="27"/>
      <c r="K19" s="84">
        <f>SUM(H19:J19)</f>
        <v>0</v>
      </c>
      <c r="L19" s="41">
        <f>ROUND(F19*E19,2)</f>
        <v>0</v>
      </c>
      <c r="M19" s="84">
        <f>ROUND(H19*E19,2)</f>
        <v>0</v>
      </c>
      <c r="N19" s="84">
        <f>ROUND(I19*E19,2)</f>
        <v>0</v>
      </c>
      <c r="O19" s="84">
        <f>ROUND(J19*E19,2)</f>
        <v>0</v>
      </c>
      <c r="P19" s="85">
        <f>SUM(M19:O19)</f>
        <v>0</v>
      </c>
    </row>
    <row r="20" spans="1:16" s="45" customFormat="1" x14ac:dyDescent="0.25">
      <c r="A20" s="83">
        <v>8</v>
      </c>
      <c r="B20" s="92"/>
      <c r="C20" s="168" t="s">
        <v>83</v>
      </c>
      <c r="D20" s="82" t="s">
        <v>76</v>
      </c>
      <c r="E20" s="241">
        <v>1</v>
      </c>
      <c r="F20" s="87">
        <f t="shared" si="6"/>
        <v>0</v>
      </c>
      <c r="G20" s="87">
        <f t="shared" si="7"/>
        <v>0</v>
      </c>
      <c r="H20" s="27"/>
      <c r="I20" s="27"/>
      <c r="J20" s="27"/>
      <c r="K20" s="84">
        <f t="shared" si="8"/>
        <v>0</v>
      </c>
      <c r="L20" s="41">
        <f t="shared" si="9"/>
        <v>0</v>
      </c>
      <c r="M20" s="84">
        <f t="shared" si="10"/>
        <v>0</v>
      </c>
      <c r="N20" s="84">
        <f t="shared" si="11"/>
        <v>0</v>
      </c>
      <c r="O20" s="84">
        <f t="shared" si="12"/>
        <v>0</v>
      </c>
      <c r="P20" s="85">
        <f t="shared" si="13"/>
        <v>0</v>
      </c>
    </row>
    <row r="21" spans="1:16" s="45" customFormat="1" x14ac:dyDescent="0.25">
      <c r="A21" s="83">
        <v>9</v>
      </c>
      <c r="B21" s="92"/>
      <c r="C21" s="168" t="s">
        <v>84</v>
      </c>
      <c r="D21" s="82" t="s">
        <v>78</v>
      </c>
      <c r="E21" s="241">
        <v>1</v>
      </c>
      <c r="F21" s="87">
        <f t="shared" si="6"/>
        <v>0</v>
      </c>
      <c r="G21" s="87">
        <f t="shared" si="7"/>
        <v>0</v>
      </c>
      <c r="H21" s="27"/>
      <c r="I21" s="27"/>
      <c r="J21" s="27"/>
      <c r="K21" s="84">
        <f t="shared" si="8"/>
        <v>0</v>
      </c>
      <c r="L21" s="41">
        <f t="shared" si="9"/>
        <v>0</v>
      </c>
      <c r="M21" s="84">
        <f t="shared" si="10"/>
        <v>0</v>
      </c>
      <c r="N21" s="84">
        <f t="shared" si="11"/>
        <v>0</v>
      </c>
      <c r="O21" s="84">
        <f t="shared" si="12"/>
        <v>0</v>
      </c>
      <c r="P21" s="85">
        <f t="shared" si="13"/>
        <v>0</v>
      </c>
    </row>
    <row r="22" spans="1:16" s="45" customFormat="1" x14ac:dyDescent="0.25">
      <c r="A22" s="83">
        <v>10</v>
      </c>
      <c r="B22" s="92"/>
      <c r="C22" s="168" t="s">
        <v>85</v>
      </c>
      <c r="D22" s="82" t="s">
        <v>78</v>
      </c>
      <c r="E22" s="241">
        <v>1</v>
      </c>
      <c r="F22" s="87">
        <f t="shared" si="6"/>
        <v>0</v>
      </c>
      <c r="G22" s="87">
        <f t="shared" si="7"/>
        <v>0</v>
      </c>
      <c r="H22" s="27"/>
      <c r="I22" s="27"/>
      <c r="J22" s="27"/>
      <c r="K22" s="84">
        <f t="shared" si="8"/>
        <v>0</v>
      </c>
      <c r="L22" s="41">
        <f t="shared" si="9"/>
        <v>0</v>
      </c>
      <c r="M22" s="84">
        <f t="shared" si="10"/>
        <v>0</v>
      </c>
      <c r="N22" s="84">
        <f t="shared" si="11"/>
        <v>0</v>
      </c>
      <c r="O22" s="84">
        <f t="shared" si="12"/>
        <v>0</v>
      </c>
      <c r="P22" s="85">
        <f t="shared" si="13"/>
        <v>0</v>
      </c>
    </row>
    <row r="23" spans="1:16" s="45" customFormat="1" x14ac:dyDescent="0.25">
      <c r="A23" s="83">
        <v>12</v>
      </c>
      <c r="B23" s="92"/>
      <c r="C23" s="168" t="s">
        <v>205</v>
      </c>
      <c r="D23" s="82" t="s">
        <v>76</v>
      </c>
      <c r="E23" s="241">
        <v>1</v>
      </c>
      <c r="F23" s="87">
        <f t="shared" si="6"/>
        <v>0</v>
      </c>
      <c r="G23" s="87">
        <f t="shared" si="7"/>
        <v>0</v>
      </c>
      <c r="H23" s="27"/>
      <c r="I23" s="27"/>
      <c r="J23" s="27"/>
      <c r="K23" s="84">
        <f t="shared" si="8"/>
        <v>0</v>
      </c>
      <c r="L23" s="41">
        <f t="shared" si="9"/>
        <v>0</v>
      </c>
      <c r="M23" s="84">
        <f t="shared" si="10"/>
        <v>0</v>
      </c>
      <c r="N23" s="84">
        <f t="shared" si="11"/>
        <v>0</v>
      </c>
      <c r="O23" s="84">
        <f t="shared" si="12"/>
        <v>0</v>
      </c>
      <c r="P23" s="85">
        <f t="shared" si="13"/>
        <v>0</v>
      </c>
    </row>
    <row r="24" spans="1:16" s="45" customFormat="1" x14ac:dyDescent="0.25">
      <c r="A24" s="83">
        <v>13</v>
      </c>
      <c r="B24" s="92"/>
      <c r="C24" s="168" t="s">
        <v>86</v>
      </c>
      <c r="D24" s="82" t="s">
        <v>78</v>
      </c>
      <c r="E24" s="241">
        <v>1</v>
      </c>
      <c r="F24" s="87">
        <f t="shared" si="6"/>
        <v>0</v>
      </c>
      <c r="G24" s="87">
        <f t="shared" si="7"/>
        <v>0</v>
      </c>
      <c r="H24" s="27"/>
      <c r="I24" s="27"/>
      <c r="J24" s="27"/>
      <c r="K24" s="84">
        <f t="shared" si="8"/>
        <v>0</v>
      </c>
      <c r="L24" s="41">
        <f t="shared" si="9"/>
        <v>0</v>
      </c>
      <c r="M24" s="84">
        <f t="shared" si="10"/>
        <v>0</v>
      </c>
      <c r="N24" s="84">
        <f t="shared" si="11"/>
        <v>0</v>
      </c>
      <c r="O24" s="84">
        <f t="shared" si="12"/>
        <v>0</v>
      </c>
      <c r="P24" s="85">
        <f t="shared" si="13"/>
        <v>0</v>
      </c>
    </row>
    <row r="25" spans="1:16" s="45" customFormat="1" ht="39.6" x14ac:dyDescent="0.25">
      <c r="A25" s="83">
        <v>14</v>
      </c>
      <c r="B25" s="132"/>
      <c r="C25" s="168" t="s">
        <v>274</v>
      </c>
      <c r="D25" s="260" t="s">
        <v>78</v>
      </c>
      <c r="E25" s="261">
        <v>1</v>
      </c>
      <c r="F25" s="48"/>
      <c r="G25" s="48"/>
      <c r="H25" s="46"/>
      <c r="I25" s="46"/>
      <c r="J25" s="46"/>
      <c r="K25" s="133"/>
      <c r="L25" s="134"/>
      <c r="M25" s="133"/>
      <c r="N25" s="133"/>
      <c r="O25" s="133"/>
      <c r="P25" s="135"/>
    </row>
    <row r="26" spans="1:16" x14ac:dyDescent="0.25">
      <c r="A26" s="29"/>
      <c r="B26" s="93"/>
      <c r="C26" s="30"/>
      <c r="D26" s="31"/>
      <c r="E26" s="32"/>
      <c r="F26" s="33">
        <v>0</v>
      </c>
      <c r="G26" s="33">
        <v>0</v>
      </c>
      <c r="H26" s="33"/>
      <c r="I26" s="32"/>
      <c r="J26" s="32"/>
      <c r="K26" s="32"/>
      <c r="L26" s="32"/>
      <c r="M26" s="32"/>
      <c r="N26" s="32"/>
      <c r="O26" s="32"/>
      <c r="P26" s="34"/>
    </row>
    <row r="27" spans="1:16" ht="15.3" customHeight="1" x14ac:dyDescent="0.25">
      <c r="A27" s="35"/>
      <c r="B27" s="94"/>
      <c r="C27" s="323" t="s">
        <v>70</v>
      </c>
      <c r="D27" s="324"/>
      <c r="E27" s="324"/>
      <c r="F27" s="324"/>
      <c r="G27" s="324"/>
      <c r="H27" s="324"/>
      <c r="I27" s="324"/>
      <c r="J27" s="324"/>
      <c r="K27" s="324"/>
      <c r="L27" s="36">
        <f>SUM(L13:L26)</f>
        <v>0</v>
      </c>
      <c r="M27" s="36">
        <f>SUM(M13:M26)</f>
        <v>0</v>
      </c>
      <c r="N27" s="36">
        <f>SUM(N13:N26)</f>
        <v>0</v>
      </c>
      <c r="O27" s="36">
        <f>SUM(O13:O26)</f>
        <v>0</v>
      </c>
      <c r="P27" s="36">
        <f>SUM(P13:P26)</f>
        <v>0</v>
      </c>
    </row>
    <row r="28" spans="1:16" s="101" customFormat="1" x14ac:dyDescent="0.25">
      <c r="I28" s="122"/>
    </row>
    <row r="29" spans="1:16" customFormat="1" ht="12.75" customHeight="1" x14ac:dyDescent="0.25">
      <c r="B29" s="123" t="s">
        <v>41</v>
      </c>
    </row>
    <row r="30" spans="1:16" customFormat="1" ht="45" customHeight="1" x14ac:dyDescent="0.25">
      <c r="A30" s="317" t="s">
        <v>69</v>
      </c>
      <c r="B30" s="317"/>
      <c r="C30" s="317"/>
      <c r="D30" s="317"/>
      <c r="E30" s="317"/>
      <c r="F30" s="317"/>
      <c r="G30" s="317"/>
      <c r="H30" s="317"/>
      <c r="I30" s="317"/>
      <c r="J30" s="317"/>
      <c r="K30" s="317"/>
      <c r="L30" s="317"/>
      <c r="M30" s="317"/>
      <c r="N30" s="317"/>
      <c r="O30" s="317"/>
      <c r="P30" s="317"/>
    </row>
    <row r="31" spans="1:16" customFormat="1" ht="13.2" x14ac:dyDescent="0.25">
      <c r="A31" s="317"/>
      <c r="B31" s="317"/>
      <c r="C31" s="317"/>
      <c r="D31" s="317"/>
      <c r="E31" s="317"/>
      <c r="F31" s="317"/>
      <c r="G31" s="317"/>
      <c r="H31" s="317"/>
      <c r="I31" s="317"/>
      <c r="J31" s="317"/>
      <c r="K31" s="317"/>
      <c r="L31" s="317"/>
      <c r="M31" s="317"/>
      <c r="N31" s="317"/>
      <c r="O31" s="317"/>
      <c r="P31" s="317"/>
    </row>
    <row r="32" spans="1:16" customFormat="1" ht="12.75" customHeight="1" x14ac:dyDescent="0.25">
      <c r="B32" s="124"/>
    </row>
    <row r="33" spans="2:16" customFormat="1" ht="12.75" customHeight="1" x14ac:dyDescent="0.25">
      <c r="B33" s="124"/>
    </row>
    <row r="34" spans="2:16" s="101" customFormat="1" x14ac:dyDescent="0.25">
      <c r="B34" s="101" t="s">
        <v>8</v>
      </c>
      <c r="L34" s="129" t="str">
        <f>Koptame!B39</f>
        <v>Pārbaudīja:</v>
      </c>
      <c r="M34" s="129"/>
      <c r="N34" s="129"/>
      <c r="O34" s="129"/>
      <c r="P34" s="129"/>
    </row>
    <row r="35" spans="2:16" s="101" customFormat="1" ht="14.25" customHeight="1" x14ac:dyDescent="0.25">
      <c r="C35" s="121">
        <f>Koptame!C34</f>
        <v>0</v>
      </c>
      <c r="L35" s="121"/>
      <c r="M35" s="314">
        <f>Koptame!C40</f>
        <v>0</v>
      </c>
      <c r="N35" s="314"/>
      <c r="O35" s="129"/>
      <c r="P35" s="129"/>
    </row>
    <row r="36" spans="2:16" s="101" customFormat="1" x14ac:dyDescent="0.25">
      <c r="C36" s="120">
        <f>Koptame!C35</f>
        <v>0</v>
      </c>
      <c r="L36" s="120"/>
      <c r="M36" s="315">
        <f>Koptame!C41</f>
        <v>0</v>
      </c>
      <c r="N36" s="315"/>
      <c r="O36" s="129"/>
      <c r="P36" s="129"/>
    </row>
    <row r="37" spans="2:16" s="101" customFormat="1" collapsed="1" x14ac:dyDescent="0.25">
      <c r="B37" s="122"/>
      <c r="F37" s="122"/>
      <c r="G37" s="122"/>
    </row>
  </sheetData>
  <mergeCells count="17">
    <mergeCell ref="A2:P2"/>
    <mergeCell ref="L9:O9"/>
    <mergeCell ref="D3:P3"/>
    <mergeCell ref="D4:P4"/>
    <mergeCell ref="D5:P5"/>
    <mergeCell ref="M35:N35"/>
    <mergeCell ref="M36:N36"/>
    <mergeCell ref="L11:P11"/>
    <mergeCell ref="A31:P31"/>
    <mergeCell ref="A30:P30"/>
    <mergeCell ref="A11:A12"/>
    <mergeCell ref="B11:B12"/>
    <mergeCell ref="C11:C12"/>
    <mergeCell ref="D11:D12"/>
    <mergeCell ref="C27:K27"/>
    <mergeCell ref="E11:E12"/>
    <mergeCell ref="F11:K11"/>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P30"/>
  <sheetViews>
    <sheetView showZeros="0" view="pageBreakPreview" topLeftCell="A12" zoomScale="90" zoomScaleNormal="100" zoomScaleSheetLayoutView="90" workbookViewId="0">
      <selection activeCell="C14" sqref="C14"/>
    </sheetView>
  </sheetViews>
  <sheetFormatPr defaultColWidth="9.109375" defaultRowHeight="13.8" x14ac:dyDescent="0.25"/>
  <cols>
    <col min="1" max="1" width="9" style="15" customWidth="1"/>
    <col min="2" max="2" width="9.33203125" style="15" customWidth="1"/>
    <col min="3" max="3" width="40.21875" style="15" customWidth="1"/>
    <col min="4" max="4" width="8.109375" style="15" customWidth="1"/>
    <col min="5" max="8" width="9.109375" style="15"/>
    <col min="9" max="9" width="9.109375" style="45"/>
    <col min="10" max="11" width="9.109375" style="15"/>
    <col min="12" max="12" width="11.6640625" style="15" customWidth="1"/>
    <col min="13" max="13" width="12.21875" style="15" customWidth="1"/>
    <col min="14" max="14" width="12.77734375" style="15" customWidth="1"/>
    <col min="15" max="15" width="11.6640625" style="15" customWidth="1"/>
    <col min="16" max="16" width="12.88671875" style="15" customWidth="1"/>
    <col min="17" max="16384" width="9.109375" style="15"/>
  </cols>
  <sheetData>
    <row r="1" spans="1:16" s="20" customFormat="1" x14ac:dyDescent="0.25">
      <c r="E1" s="17"/>
      <c r="F1" s="17"/>
      <c r="G1" s="138" t="s">
        <v>60</v>
      </c>
      <c r="H1" s="98" t="str">
        <f>kops1!B22</f>
        <v>1,2</v>
      </c>
      <c r="I1" s="42"/>
    </row>
    <row r="2" spans="1:16" s="20" customFormat="1" x14ac:dyDescent="0.25">
      <c r="A2" s="325" t="str">
        <f>C13</f>
        <v>Demontāžas darbi</v>
      </c>
      <c r="B2" s="325"/>
      <c r="C2" s="325"/>
      <c r="D2" s="325"/>
      <c r="E2" s="325"/>
      <c r="F2" s="325"/>
      <c r="G2" s="325"/>
      <c r="H2" s="325"/>
      <c r="I2" s="325"/>
      <c r="J2" s="325"/>
      <c r="K2" s="325"/>
      <c r="L2" s="325"/>
      <c r="M2" s="325"/>
      <c r="N2" s="325"/>
      <c r="O2" s="325"/>
      <c r="P2" s="325"/>
    </row>
    <row r="3" spans="1:16" x14ac:dyDescent="0.25">
      <c r="A3" s="16"/>
      <c r="B3" s="16"/>
      <c r="C3" s="16" t="s">
        <v>11</v>
      </c>
      <c r="D3" s="327" t="str">
        <f>Koptame!C11</f>
        <v>Jaunlopu kūts</v>
      </c>
      <c r="E3" s="327"/>
      <c r="F3" s="327"/>
      <c r="G3" s="327"/>
      <c r="H3" s="327"/>
      <c r="I3" s="327"/>
      <c r="J3" s="327"/>
      <c r="K3" s="327"/>
      <c r="L3" s="327"/>
      <c r="M3" s="327"/>
      <c r="N3" s="327"/>
      <c r="O3" s="327"/>
      <c r="P3" s="327"/>
    </row>
    <row r="4" spans="1:16" x14ac:dyDescent="0.25">
      <c r="A4" s="16"/>
      <c r="B4" s="16"/>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16"/>
      <c r="C5" s="16" t="s">
        <v>13</v>
      </c>
      <c r="D5" s="327" t="str">
        <f>Koptame!C13</f>
        <v>“Līci”,Sarkaņu pag.,Madonas nov.</v>
      </c>
      <c r="E5" s="327"/>
      <c r="F5" s="327"/>
      <c r="G5" s="327"/>
      <c r="H5" s="327"/>
      <c r="I5" s="327"/>
      <c r="J5" s="327"/>
      <c r="K5" s="327"/>
      <c r="L5" s="327"/>
      <c r="M5" s="327"/>
      <c r="N5" s="327"/>
      <c r="O5" s="327"/>
      <c r="P5" s="327"/>
    </row>
    <row r="6" spans="1:16" x14ac:dyDescent="0.25">
      <c r="A6" s="16"/>
      <c r="B6" s="16"/>
      <c r="C6" s="16" t="str">
        <f>Koptame!B14</f>
        <v>Pasūtījuma Nr.</v>
      </c>
      <c r="D6" s="18" t="str">
        <f>Koptame!C14</f>
        <v xml:space="preserve"> L-25-10-45</v>
      </c>
      <c r="E6" s="37"/>
      <c r="F6" s="37"/>
      <c r="G6" s="37"/>
      <c r="H6" s="37"/>
      <c r="I6" s="43"/>
      <c r="J6" s="37"/>
      <c r="K6" s="37"/>
      <c r="L6" s="37"/>
      <c r="M6" s="37"/>
      <c r="N6" s="37"/>
      <c r="O6" s="37"/>
      <c r="P6" s="21"/>
    </row>
    <row r="7" spans="1:16" x14ac:dyDescent="0.25">
      <c r="A7" s="3" t="str">
        <f>Koptame!B17</f>
        <v>Tāme sastādīta 202_.gada tirgus cenās, pamatojoties uz būvprojekta rasējumiem un darbu apjomiem</v>
      </c>
      <c r="B7" s="40"/>
      <c r="D7" s="18"/>
      <c r="E7" s="18"/>
      <c r="F7" s="18"/>
      <c r="G7" s="18"/>
      <c r="H7" s="18"/>
      <c r="I7" s="44"/>
      <c r="J7" s="18"/>
      <c r="K7" s="37"/>
      <c r="L7" s="37"/>
      <c r="M7" s="37"/>
      <c r="N7" s="37"/>
      <c r="O7" s="16" t="s">
        <v>59</v>
      </c>
      <c r="P7" s="22">
        <f>P20</f>
        <v>0</v>
      </c>
    </row>
    <row r="8" spans="1:16" x14ac:dyDescent="0.25">
      <c r="A8" s="19"/>
      <c r="B8" s="19"/>
      <c r="D8" s="23"/>
      <c r="E8" s="37"/>
      <c r="F8" s="37"/>
      <c r="G8" s="37"/>
      <c r="H8" s="37"/>
      <c r="I8" s="43"/>
      <c r="J8" s="37"/>
      <c r="K8" s="37"/>
      <c r="N8" s="37"/>
      <c r="O8" s="37"/>
      <c r="P8" s="21"/>
    </row>
    <row r="9" spans="1:16" ht="15.3" customHeight="1" x14ac:dyDescent="0.25">
      <c r="A9" s="39"/>
      <c r="B9" s="39"/>
      <c r="J9" s="38"/>
      <c r="K9" s="38"/>
      <c r="L9" s="326" t="str">
        <f>Koptame!D16</f>
        <v>Tāme sastādīta:  2026.gada 8.Aprīlī</v>
      </c>
      <c r="M9" s="326"/>
      <c r="N9" s="326"/>
      <c r="O9" s="326"/>
      <c r="P9" s="38"/>
    </row>
    <row r="10" spans="1:16" ht="15" x14ac:dyDescent="0.25">
      <c r="A10" s="39"/>
      <c r="B10" s="39"/>
    </row>
    <row r="11" spans="1:16" ht="14.25" customHeight="1" x14ac:dyDescent="0.25">
      <c r="A11" s="318" t="s">
        <v>15</v>
      </c>
      <c r="B11" s="328" t="s">
        <v>21</v>
      </c>
      <c r="C11" s="321" t="s">
        <v>64</v>
      </c>
      <c r="D11" s="322" t="s">
        <v>22</v>
      </c>
      <c r="E11" s="318" t="s">
        <v>23</v>
      </c>
      <c r="F11" s="316" t="s">
        <v>24</v>
      </c>
      <c r="G11" s="316"/>
      <c r="H11" s="316"/>
      <c r="I11" s="316"/>
      <c r="J11" s="316"/>
      <c r="K11" s="316"/>
      <c r="L11" s="316" t="s">
        <v>25</v>
      </c>
      <c r="M11" s="316"/>
      <c r="N11" s="316"/>
      <c r="O11" s="316"/>
      <c r="P11" s="316"/>
    </row>
    <row r="12" spans="1:16" ht="64.05" customHeight="1" x14ac:dyDescent="0.25">
      <c r="A12" s="318"/>
      <c r="B12" s="329"/>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209">
        <v>0</v>
      </c>
      <c r="C13" s="243" t="str">
        <f>kops1!C22</f>
        <v>Demontāžas darbi</v>
      </c>
      <c r="D13" s="179"/>
      <c r="E13" s="180"/>
      <c r="F13" s="184">
        <v>0</v>
      </c>
      <c r="G13" s="183">
        <v>0</v>
      </c>
      <c r="H13" s="182">
        <v>0</v>
      </c>
      <c r="I13" s="183">
        <v>0</v>
      </c>
      <c r="J13" s="183">
        <v>0</v>
      </c>
      <c r="K13" s="183">
        <f t="shared" ref="K13:K15" si="0">SUM(H13:J13)</f>
        <v>0</v>
      </c>
      <c r="L13" s="184">
        <f t="shared" ref="L13:L15" si="1">ROUND(F13*E13,2)</f>
        <v>0</v>
      </c>
      <c r="M13" s="183">
        <f t="shared" ref="M13:M15" si="2">ROUND(H13*E13,2)</f>
        <v>0</v>
      </c>
      <c r="N13" s="183">
        <f t="shared" ref="N13:N15" si="3">ROUND(I13*E13,2)</f>
        <v>0</v>
      </c>
      <c r="O13" s="183">
        <f t="shared" ref="O13:O15" si="4">ROUND(J13*E13,2)</f>
        <v>0</v>
      </c>
      <c r="P13" s="185">
        <f t="shared" ref="P13:P15" si="5">SUM(M13:O13)</f>
        <v>0</v>
      </c>
    </row>
    <row r="14" spans="1:16" s="45" customFormat="1" ht="26.4" x14ac:dyDescent="0.25">
      <c r="A14" s="166">
        <v>1</v>
      </c>
      <c r="B14" s="145"/>
      <c r="C14" s="168" t="s">
        <v>279</v>
      </c>
      <c r="D14" s="169" t="s">
        <v>78</v>
      </c>
      <c r="E14" s="236">
        <v>1</v>
      </c>
      <c r="F14" s="155">
        <f t="shared" ref="F14:F15" si="6">IFERROR(ROUND(H14/G14,2),0)</f>
        <v>0</v>
      </c>
      <c r="G14" s="155">
        <f t="shared" ref="G14:G15" si="7">IF(H14&gt;0,5,0)</f>
        <v>0</v>
      </c>
      <c r="H14" s="156"/>
      <c r="I14" s="156"/>
      <c r="J14" s="156"/>
      <c r="K14" s="149">
        <f t="shared" si="0"/>
        <v>0</v>
      </c>
      <c r="L14" s="150">
        <f t="shared" si="1"/>
        <v>0</v>
      </c>
      <c r="M14" s="149">
        <f t="shared" si="2"/>
        <v>0</v>
      </c>
      <c r="N14" s="149">
        <f t="shared" si="3"/>
        <v>0</v>
      </c>
      <c r="O14" s="149">
        <f t="shared" si="4"/>
        <v>0</v>
      </c>
      <c r="P14" s="151">
        <f t="shared" si="5"/>
        <v>0</v>
      </c>
    </row>
    <row r="15" spans="1:16" s="45" customFormat="1" ht="39.6" x14ac:dyDescent="0.25">
      <c r="A15" s="166">
        <v>2</v>
      </c>
      <c r="B15" s="145"/>
      <c r="C15" s="168" t="s">
        <v>280</v>
      </c>
      <c r="D15" s="169" t="s">
        <v>78</v>
      </c>
      <c r="E15" s="236">
        <v>1</v>
      </c>
      <c r="F15" s="155">
        <f t="shared" si="6"/>
        <v>0</v>
      </c>
      <c r="G15" s="155">
        <f t="shared" si="7"/>
        <v>0</v>
      </c>
      <c r="H15" s="156"/>
      <c r="I15" s="156"/>
      <c r="J15" s="156"/>
      <c r="K15" s="149">
        <f t="shared" si="0"/>
        <v>0</v>
      </c>
      <c r="L15" s="150">
        <f t="shared" si="1"/>
        <v>0</v>
      </c>
      <c r="M15" s="149">
        <f t="shared" si="2"/>
        <v>0</v>
      </c>
      <c r="N15" s="149">
        <f t="shared" si="3"/>
        <v>0</v>
      </c>
      <c r="O15" s="149">
        <f t="shared" si="4"/>
        <v>0</v>
      </c>
      <c r="P15" s="151">
        <f t="shared" si="5"/>
        <v>0</v>
      </c>
    </row>
    <row r="16" spans="1:16" s="45" customFormat="1" ht="79.2" x14ac:dyDescent="0.25">
      <c r="A16" s="166">
        <v>3</v>
      </c>
      <c r="B16" s="238"/>
      <c r="C16" s="168" t="s">
        <v>281</v>
      </c>
      <c r="D16" s="239" t="s">
        <v>78</v>
      </c>
      <c r="E16" s="236">
        <v>1</v>
      </c>
      <c r="F16" s="155"/>
      <c r="G16" s="155"/>
      <c r="H16" s="156"/>
      <c r="I16" s="156"/>
      <c r="J16" s="156"/>
      <c r="K16" s="149">
        <f t="shared" ref="K16:K18" si="8">SUM(H16:J16)</f>
        <v>0</v>
      </c>
      <c r="L16" s="150">
        <f t="shared" ref="L16:L19" si="9">ROUND(F16*E16,2)</f>
        <v>0</v>
      </c>
      <c r="M16" s="149">
        <f t="shared" ref="M16:M19" si="10">ROUND(H16*E16,2)</f>
        <v>0</v>
      </c>
      <c r="N16" s="149">
        <f t="shared" ref="N16:N19" si="11">ROUND(I16*E16,2)</f>
        <v>0</v>
      </c>
      <c r="O16" s="149">
        <f t="shared" ref="O16:O19" si="12">ROUND(J16*E16,2)</f>
        <v>0</v>
      </c>
      <c r="P16" s="151">
        <f t="shared" ref="P16:P19" si="13">SUM(M16:O16)</f>
        <v>0</v>
      </c>
    </row>
    <row r="17" spans="1:16" s="45" customFormat="1" ht="26.4" x14ac:dyDescent="0.25">
      <c r="A17" s="166">
        <v>4</v>
      </c>
      <c r="B17" s="238"/>
      <c r="C17" s="168" t="s">
        <v>282</v>
      </c>
      <c r="D17" s="239" t="s">
        <v>78</v>
      </c>
      <c r="E17" s="236">
        <v>1</v>
      </c>
      <c r="F17" s="155"/>
      <c r="G17" s="155"/>
      <c r="H17" s="156"/>
      <c r="I17" s="156"/>
      <c r="J17" s="156"/>
      <c r="K17" s="149">
        <f t="shared" si="8"/>
        <v>0</v>
      </c>
      <c r="L17" s="150">
        <f t="shared" si="9"/>
        <v>0</v>
      </c>
      <c r="M17" s="149">
        <f t="shared" si="10"/>
        <v>0</v>
      </c>
      <c r="N17" s="149">
        <f t="shared" si="11"/>
        <v>0</v>
      </c>
      <c r="O17" s="149">
        <f t="shared" si="12"/>
        <v>0</v>
      </c>
      <c r="P17" s="151">
        <f t="shared" si="13"/>
        <v>0</v>
      </c>
    </row>
    <row r="18" spans="1:16" s="45" customFormat="1" ht="26.4" x14ac:dyDescent="0.25">
      <c r="A18" s="166">
        <v>5</v>
      </c>
      <c r="B18" s="238"/>
      <c r="C18" s="168" t="s">
        <v>107</v>
      </c>
      <c r="D18" s="239" t="s">
        <v>78</v>
      </c>
      <c r="E18" s="236">
        <v>1</v>
      </c>
      <c r="F18" s="155"/>
      <c r="G18" s="155"/>
      <c r="H18" s="156"/>
      <c r="I18" s="156"/>
      <c r="J18" s="156"/>
      <c r="K18" s="149">
        <f t="shared" si="8"/>
        <v>0</v>
      </c>
      <c r="L18" s="150">
        <f t="shared" si="9"/>
        <v>0</v>
      </c>
      <c r="M18" s="149">
        <f t="shared" si="10"/>
        <v>0</v>
      </c>
      <c r="N18" s="149">
        <f t="shared" si="11"/>
        <v>0</v>
      </c>
      <c r="O18" s="149">
        <f t="shared" si="12"/>
        <v>0</v>
      </c>
      <c r="P18" s="151">
        <f t="shared" si="13"/>
        <v>0</v>
      </c>
    </row>
    <row r="19" spans="1:16" s="45" customFormat="1" ht="52.8" x14ac:dyDescent="0.25">
      <c r="A19" s="223">
        <v>6</v>
      </c>
      <c r="B19" s="224"/>
      <c r="C19" s="225" t="s">
        <v>283</v>
      </c>
      <c r="D19" s="226" t="s">
        <v>100</v>
      </c>
      <c r="E19" s="240">
        <v>5</v>
      </c>
      <c r="F19" s="228"/>
      <c r="G19" s="228"/>
      <c r="H19" s="194"/>
      <c r="I19" s="194"/>
      <c r="J19" s="194"/>
      <c r="K19" s="229"/>
      <c r="L19" s="230">
        <f t="shared" si="9"/>
        <v>0</v>
      </c>
      <c r="M19" s="229">
        <f t="shared" si="10"/>
        <v>0</v>
      </c>
      <c r="N19" s="229">
        <f t="shared" si="11"/>
        <v>0</v>
      </c>
      <c r="O19" s="229">
        <f t="shared" si="12"/>
        <v>0</v>
      </c>
      <c r="P19" s="231">
        <f t="shared" si="13"/>
        <v>0</v>
      </c>
    </row>
    <row r="20" spans="1:16" ht="15.3" customHeight="1" x14ac:dyDescent="0.25">
      <c r="A20" s="174"/>
      <c r="B20" s="174"/>
      <c r="C20" s="330" t="s">
        <v>70</v>
      </c>
      <c r="D20" s="331"/>
      <c r="E20" s="331"/>
      <c r="F20" s="331"/>
      <c r="G20" s="331"/>
      <c r="H20" s="331"/>
      <c r="I20" s="331"/>
      <c r="J20" s="331"/>
      <c r="K20" s="331"/>
      <c r="L20" s="176">
        <f>SUM(L13:L19)</f>
        <v>0</v>
      </c>
      <c r="M20" s="176">
        <f>SUM(M13:M19)</f>
        <v>0</v>
      </c>
      <c r="N20" s="176">
        <f>SUM(N13:N19)</f>
        <v>0</v>
      </c>
      <c r="O20" s="176">
        <f>SUM(O13:O19)</f>
        <v>0</v>
      </c>
      <c r="P20" s="176">
        <f>SUM(P13:P19)</f>
        <v>0</v>
      </c>
    </row>
    <row r="21" spans="1:16" s="101" customFormat="1" x14ac:dyDescent="0.25">
      <c r="I21" s="122"/>
    </row>
    <row r="22" spans="1:16" customFormat="1" ht="12.75" customHeight="1" x14ac:dyDescent="0.25">
      <c r="B22" s="123" t="str">
        <f>'1,1'!B29</f>
        <v>Piezīmes:</v>
      </c>
    </row>
    <row r="23" spans="1:16" customFormat="1" ht="45" customHeight="1" x14ac:dyDescent="0.25">
      <c r="A23" s="317"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3" s="317"/>
      <c r="C23" s="317"/>
      <c r="D23" s="317"/>
      <c r="E23" s="317"/>
      <c r="F23" s="317"/>
      <c r="G23" s="317"/>
      <c r="H23" s="317"/>
      <c r="I23" s="317"/>
      <c r="J23" s="317"/>
      <c r="K23" s="317"/>
      <c r="L23" s="317"/>
      <c r="M23" s="317"/>
      <c r="N23" s="317"/>
      <c r="O23" s="317"/>
      <c r="P23" s="317"/>
    </row>
    <row r="24" spans="1:16" customFormat="1" ht="13.2" x14ac:dyDescent="0.25">
      <c r="A24" s="317"/>
      <c r="B24" s="317"/>
      <c r="C24" s="317"/>
      <c r="D24" s="317"/>
      <c r="E24" s="317"/>
      <c r="F24" s="317"/>
      <c r="G24" s="317"/>
      <c r="H24" s="317"/>
      <c r="I24" s="317"/>
      <c r="J24" s="317"/>
      <c r="K24" s="317"/>
      <c r="L24" s="317"/>
      <c r="M24" s="317"/>
      <c r="N24" s="317"/>
      <c r="O24" s="317"/>
      <c r="P24" s="317"/>
    </row>
    <row r="25" spans="1:16" customFormat="1" ht="12.75" customHeight="1" x14ac:dyDescent="0.25">
      <c r="B25" s="124"/>
    </row>
    <row r="26" spans="1:16" customFormat="1" ht="12.75" customHeight="1" x14ac:dyDescent="0.25">
      <c r="B26" s="124"/>
    </row>
    <row r="27" spans="1:16" s="101" customFormat="1" x14ac:dyDescent="0.25">
      <c r="B27" s="101" t="s">
        <v>8</v>
      </c>
      <c r="L27" s="129" t="str">
        <f>Koptame!B39</f>
        <v>Pārbaudīja:</v>
      </c>
      <c r="M27" s="129"/>
      <c r="N27" s="129"/>
      <c r="O27" s="129"/>
      <c r="P27" s="129"/>
    </row>
    <row r="28" spans="1:16" s="101" customFormat="1" ht="14.25" customHeight="1" x14ac:dyDescent="0.25">
      <c r="C28" s="121">
        <f>Koptame!C34</f>
        <v>0</v>
      </c>
      <c r="L28" s="121"/>
      <c r="M28" s="314">
        <f>Koptame!C40</f>
        <v>0</v>
      </c>
      <c r="N28" s="314"/>
      <c r="O28" s="129"/>
      <c r="P28" s="129"/>
    </row>
    <row r="29" spans="1:16" s="101" customFormat="1" x14ac:dyDescent="0.25">
      <c r="C29" s="120">
        <f>Koptame!C35</f>
        <v>0</v>
      </c>
      <c r="L29" s="120"/>
      <c r="M29" s="315">
        <f>Koptame!C41</f>
        <v>0</v>
      </c>
      <c r="N29" s="315"/>
      <c r="O29" s="129"/>
      <c r="P29" s="129"/>
    </row>
    <row r="30" spans="1:16" s="101" customFormat="1" collapsed="1" x14ac:dyDescent="0.25">
      <c r="B30" s="122"/>
      <c r="F30" s="122"/>
      <c r="G30" s="122"/>
    </row>
  </sheetData>
  <mergeCells count="17">
    <mergeCell ref="A2:P2"/>
    <mergeCell ref="L9:O9"/>
    <mergeCell ref="D3:P3"/>
    <mergeCell ref="D4:P4"/>
    <mergeCell ref="D5:P5"/>
    <mergeCell ref="M28:N28"/>
    <mergeCell ref="M29:N29"/>
    <mergeCell ref="L11:P11"/>
    <mergeCell ref="A24:P24"/>
    <mergeCell ref="A23:P23"/>
    <mergeCell ref="A11:A12"/>
    <mergeCell ref="B11:B12"/>
    <mergeCell ref="C11:C12"/>
    <mergeCell ref="D11:D12"/>
    <mergeCell ref="C20:K20"/>
    <mergeCell ref="E11:E12"/>
    <mergeCell ref="F11:K11"/>
  </mergeCells>
  <printOptions horizontalCentered="1"/>
  <pageMargins left="0.27559055118110237" right="0.27559055118110237" top="0.74803149606299213" bottom="0.74803149606299213" header="0.31496062992125984" footer="0.31496062992125984"/>
  <pageSetup paperSize="9" scale="5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C890-D256-4C0E-ABF8-8B891E3DDB8D}">
  <sheetPr>
    <tabColor rgb="FF92D050"/>
  </sheetPr>
  <dimension ref="A1:BQ312"/>
  <sheetViews>
    <sheetView showZeros="0" view="pageBreakPreview" zoomScaleNormal="100" zoomScaleSheetLayoutView="100" workbookViewId="0">
      <selection activeCell="E297" sqref="E297"/>
    </sheetView>
  </sheetViews>
  <sheetFormatPr defaultColWidth="9.109375" defaultRowHeight="13.8" x14ac:dyDescent="0.25"/>
  <cols>
    <col min="1" max="1" width="9" style="15" customWidth="1"/>
    <col min="2" max="2" width="9.33203125" style="15" customWidth="1"/>
    <col min="3" max="3" width="40.21875" style="15" customWidth="1"/>
    <col min="4" max="4" width="8.109375" style="15" customWidth="1"/>
    <col min="5" max="8" width="9.109375" style="15"/>
    <col min="9" max="9" width="9.109375" style="45"/>
    <col min="10" max="11" width="9.109375" style="15"/>
    <col min="12" max="12" width="11.6640625" style="15" customWidth="1"/>
    <col min="13" max="13" width="12.21875" style="15" customWidth="1"/>
    <col min="14" max="14" width="12.77734375" style="15" customWidth="1"/>
    <col min="15" max="15" width="11.6640625" style="15" customWidth="1"/>
    <col min="16" max="16" width="12.88671875" style="15" customWidth="1"/>
    <col min="17" max="16384" width="9.109375" style="15"/>
  </cols>
  <sheetData>
    <row r="1" spans="1:16" s="20" customFormat="1" x14ac:dyDescent="0.25">
      <c r="E1" s="17"/>
      <c r="F1" s="17"/>
      <c r="G1" s="138" t="s">
        <v>60</v>
      </c>
      <c r="H1" s="98" t="str">
        <f>kops1!B22</f>
        <v>1,2</v>
      </c>
      <c r="I1" s="42"/>
    </row>
    <row r="2" spans="1:16" s="20" customFormat="1" x14ac:dyDescent="0.25">
      <c r="A2" s="325" t="str">
        <f>C13</f>
        <v>Jaunlopu kūts būvniecība  AR, BK</v>
      </c>
      <c r="B2" s="325"/>
      <c r="C2" s="325"/>
      <c r="D2" s="325"/>
      <c r="E2" s="325"/>
      <c r="F2" s="325"/>
      <c r="G2" s="325"/>
      <c r="H2" s="325"/>
      <c r="I2" s="325"/>
      <c r="J2" s="325"/>
      <c r="K2" s="325"/>
      <c r="L2" s="325"/>
      <c r="M2" s="325"/>
      <c r="N2" s="325"/>
      <c r="O2" s="325"/>
      <c r="P2" s="325"/>
    </row>
    <row r="3" spans="1:16" x14ac:dyDescent="0.25">
      <c r="A3" s="16"/>
      <c r="B3" s="16"/>
      <c r="C3" s="16" t="s">
        <v>11</v>
      </c>
      <c r="D3" s="327" t="str">
        <f>Koptame!C11</f>
        <v>Jaunlopu kūts</v>
      </c>
      <c r="E3" s="327"/>
      <c r="F3" s="327"/>
      <c r="G3" s="327"/>
      <c r="H3" s="327"/>
      <c r="I3" s="327"/>
      <c r="J3" s="327"/>
      <c r="K3" s="327"/>
      <c r="L3" s="327"/>
      <c r="M3" s="327"/>
      <c r="N3" s="327"/>
      <c r="O3" s="327"/>
      <c r="P3" s="327"/>
    </row>
    <row r="4" spans="1:16" x14ac:dyDescent="0.25">
      <c r="A4" s="16"/>
      <c r="B4" s="16"/>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16"/>
      <c r="C5" s="16" t="s">
        <v>13</v>
      </c>
      <c r="D5" s="327" t="str">
        <f>Koptame!C13</f>
        <v>“Līci”,Sarkaņu pag.,Madonas nov.</v>
      </c>
      <c r="E5" s="327"/>
      <c r="F5" s="327"/>
      <c r="G5" s="327"/>
      <c r="H5" s="327"/>
      <c r="I5" s="327"/>
      <c r="J5" s="327"/>
      <c r="K5" s="327"/>
      <c r="L5" s="327"/>
      <c r="M5" s="327"/>
      <c r="N5" s="327"/>
      <c r="O5" s="327"/>
      <c r="P5" s="327"/>
    </row>
    <row r="6" spans="1:16" x14ac:dyDescent="0.25">
      <c r="A6" s="16"/>
      <c r="B6" s="16"/>
      <c r="C6" s="16" t="str">
        <f>Koptame!B14</f>
        <v>Pasūtījuma Nr.</v>
      </c>
      <c r="D6" s="18" t="str">
        <f>Koptame!C14</f>
        <v xml:space="preserve"> L-25-10-45</v>
      </c>
      <c r="E6" s="37"/>
      <c r="F6" s="37"/>
      <c r="G6" s="37"/>
      <c r="H6" s="37"/>
      <c r="I6" s="43"/>
      <c r="J6" s="37"/>
      <c r="K6" s="37"/>
      <c r="L6" s="37"/>
      <c r="M6" s="37"/>
      <c r="N6" s="37"/>
      <c r="O6" s="37"/>
      <c r="P6" s="21"/>
    </row>
    <row r="7" spans="1:16" x14ac:dyDescent="0.25">
      <c r="A7" s="3" t="str">
        <f>Koptame!B17</f>
        <v>Tāme sastādīta 202_.gada tirgus cenās, pamatojoties uz būvprojekta rasējumiem un darbu apjomiem</v>
      </c>
      <c r="B7" s="40"/>
      <c r="D7" s="18"/>
      <c r="E7" s="18"/>
      <c r="F7" s="18"/>
      <c r="G7" s="18"/>
      <c r="H7" s="18"/>
      <c r="I7" s="44"/>
      <c r="J7" s="18"/>
      <c r="K7" s="37"/>
      <c r="L7" s="37"/>
      <c r="M7" s="37"/>
      <c r="N7" s="37"/>
      <c r="O7" s="16" t="s">
        <v>59</v>
      </c>
      <c r="P7" s="22">
        <f>P302</f>
        <v>0</v>
      </c>
    </row>
    <row r="8" spans="1:16" x14ac:dyDescent="0.25">
      <c r="A8" s="19"/>
      <c r="B8" s="19"/>
      <c r="D8" s="23"/>
      <c r="E8" s="37"/>
      <c r="F8" s="37"/>
      <c r="G8" s="37"/>
      <c r="H8" s="37"/>
      <c r="I8" s="43"/>
      <c r="J8" s="37"/>
      <c r="K8" s="37"/>
      <c r="N8" s="37"/>
      <c r="O8" s="37"/>
      <c r="P8" s="21"/>
    </row>
    <row r="9" spans="1:16" ht="15.3" customHeight="1" x14ac:dyDescent="0.25">
      <c r="A9" s="39"/>
      <c r="B9" s="39"/>
      <c r="J9" s="38"/>
      <c r="K9" s="38"/>
      <c r="L9" s="326" t="str">
        <f>Koptame!D16</f>
        <v>Tāme sastādīta:  2026.gada 8.Aprīlī</v>
      </c>
      <c r="M9" s="326"/>
      <c r="N9" s="326"/>
      <c r="O9" s="326"/>
      <c r="P9" s="38"/>
    </row>
    <row r="10" spans="1:16" ht="15" x14ac:dyDescent="0.25">
      <c r="A10" s="39"/>
      <c r="B10" s="39"/>
    </row>
    <row r="11" spans="1:16" ht="14.25" customHeight="1" x14ac:dyDescent="0.25">
      <c r="A11" s="318" t="s">
        <v>15</v>
      </c>
      <c r="B11" s="328" t="s">
        <v>21</v>
      </c>
      <c r="C11" s="321" t="s">
        <v>64</v>
      </c>
      <c r="D11" s="322" t="s">
        <v>22</v>
      </c>
      <c r="E11" s="318" t="s">
        <v>23</v>
      </c>
      <c r="F11" s="316" t="s">
        <v>24</v>
      </c>
      <c r="G11" s="316"/>
      <c r="H11" s="316"/>
      <c r="I11" s="316"/>
      <c r="J11" s="316"/>
      <c r="K11" s="316"/>
      <c r="L11" s="316" t="s">
        <v>25</v>
      </c>
      <c r="M11" s="316"/>
      <c r="N11" s="316"/>
      <c r="O11" s="316"/>
      <c r="P11" s="316"/>
    </row>
    <row r="12" spans="1:16" ht="64.05" customHeight="1" x14ac:dyDescent="0.25">
      <c r="A12" s="318"/>
      <c r="B12" s="329"/>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209">
        <v>0</v>
      </c>
      <c r="C13" s="243" t="str">
        <f>kops1!C23</f>
        <v>Jaunlopu kūts būvniecība  AR, BK</v>
      </c>
      <c r="D13" s="179"/>
      <c r="E13" s="180"/>
      <c r="F13" s="184">
        <v>0</v>
      </c>
      <c r="G13" s="183">
        <v>0</v>
      </c>
      <c r="H13" s="182">
        <v>0</v>
      </c>
      <c r="I13" s="183">
        <v>0</v>
      </c>
      <c r="J13" s="183">
        <v>0</v>
      </c>
      <c r="K13" s="183">
        <f t="shared" ref="K13" si="0">SUM(H13:J13)</f>
        <v>0</v>
      </c>
      <c r="L13" s="184">
        <f t="shared" ref="L13" si="1">ROUND(F13*E13,2)</f>
        <v>0</v>
      </c>
      <c r="M13" s="183">
        <f t="shared" ref="M13" si="2">ROUND(H13*E13,2)</f>
        <v>0</v>
      </c>
      <c r="N13" s="183">
        <f t="shared" ref="N13" si="3">ROUND(I13*E13,2)</f>
        <v>0</v>
      </c>
      <c r="O13" s="183">
        <f t="shared" ref="O13" si="4">ROUND(J13*E13,2)</f>
        <v>0</v>
      </c>
      <c r="P13" s="185">
        <f t="shared" ref="P13" si="5">SUM(M13:O13)</f>
        <v>0</v>
      </c>
    </row>
    <row r="14" spans="1:16" ht="15.6" x14ac:dyDescent="0.25">
      <c r="A14" s="210"/>
      <c r="B14" s="211">
        <v>0</v>
      </c>
      <c r="C14" s="282" t="s">
        <v>110</v>
      </c>
      <c r="D14" s="14"/>
      <c r="E14" s="14"/>
      <c r="F14" s="212">
        <v>0</v>
      </c>
      <c r="G14" s="213">
        <v>0</v>
      </c>
      <c r="H14" s="156">
        <v>0</v>
      </c>
      <c r="I14" s="213">
        <v>0</v>
      </c>
      <c r="J14" s="213">
        <v>0</v>
      </c>
      <c r="K14" s="213">
        <f t="shared" ref="K14" si="6">SUM(H14:J14)</f>
        <v>0</v>
      </c>
      <c r="L14" s="212">
        <f t="shared" ref="L14" si="7">ROUND(F14*E14,2)</f>
        <v>0</v>
      </c>
      <c r="M14" s="213">
        <f t="shared" ref="M14" si="8">ROUND(H14*E14,2)</f>
        <v>0</v>
      </c>
      <c r="N14" s="213">
        <f t="shared" ref="N14" si="9">ROUND(I14*E14,2)</f>
        <v>0</v>
      </c>
      <c r="O14" s="213">
        <f t="shared" ref="O14" si="10">ROUND(J14*E14,2)</f>
        <v>0</v>
      </c>
      <c r="P14" s="214">
        <f t="shared" ref="P14" si="11">SUM(M14:O14)</f>
        <v>0</v>
      </c>
    </row>
    <row r="15" spans="1:16" s="45" customFormat="1" ht="26.4" x14ac:dyDescent="0.25">
      <c r="A15" s="144">
        <f>IF(COUNTBLANK(E15)=1," ",COUNTA($E$13:E15))</f>
        <v>1</v>
      </c>
      <c r="B15" s="145"/>
      <c r="C15" s="146" t="s">
        <v>108</v>
      </c>
      <c r="D15" s="147" t="s">
        <v>78</v>
      </c>
      <c r="E15" s="232">
        <v>1</v>
      </c>
      <c r="F15" s="148"/>
      <c r="G15" s="148"/>
      <c r="H15" s="148"/>
      <c r="I15" s="148"/>
      <c r="J15" s="148"/>
      <c r="K15" s="149"/>
      <c r="L15" s="150"/>
      <c r="M15" s="149"/>
      <c r="N15" s="149"/>
      <c r="O15" s="149"/>
      <c r="P15" s="151"/>
    </row>
    <row r="16" spans="1:16" s="45" customFormat="1" ht="39.6" x14ac:dyDescent="0.25">
      <c r="A16" s="144">
        <f>IF(COUNTBLANK(E16)=1," ",COUNTA($E$13:E16))</f>
        <v>2</v>
      </c>
      <c r="B16" s="152"/>
      <c r="C16" s="153" t="s">
        <v>109</v>
      </c>
      <c r="D16" s="154" t="s">
        <v>95</v>
      </c>
      <c r="E16" s="233">
        <v>1053.3499999999999</v>
      </c>
      <c r="F16" s="155"/>
      <c r="G16" s="155"/>
      <c r="H16" s="156"/>
      <c r="I16" s="156"/>
      <c r="J16" s="156"/>
      <c r="K16" s="149"/>
      <c r="L16" s="150"/>
      <c r="M16" s="149"/>
      <c r="N16" s="149"/>
      <c r="O16" s="149"/>
      <c r="P16" s="151"/>
    </row>
    <row r="17" spans="1:66" s="45" customFormat="1" ht="26.4" x14ac:dyDescent="0.25">
      <c r="A17" s="144">
        <f>IF(COUNTBLANK(E17)=1," ",COUNTA($E$13:E17))</f>
        <v>3</v>
      </c>
      <c r="B17" s="152"/>
      <c r="C17" s="153" t="s">
        <v>275</v>
      </c>
      <c r="D17" s="154" t="s">
        <v>95</v>
      </c>
      <c r="E17" s="233">
        <v>283.62</v>
      </c>
      <c r="F17" s="155"/>
      <c r="G17" s="155"/>
      <c r="H17" s="156"/>
      <c r="I17" s="156"/>
      <c r="J17" s="156"/>
      <c r="K17" s="149"/>
      <c r="L17" s="150"/>
      <c r="M17" s="149"/>
      <c r="N17" s="149"/>
      <c r="O17" s="149"/>
      <c r="P17" s="151"/>
    </row>
    <row r="18" spans="1:66" s="45" customFormat="1" ht="39.6" x14ac:dyDescent="0.25">
      <c r="A18" s="144">
        <f>IF(COUNTBLANK(E18)=1," ",COUNTA($E$13:E18))</f>
        <v>4</v>
      </c>
      <c r="B18" s="152"/>
      <c r="C18" s="278" t="s">
        <v>173</v>
      </c>
      <c r="D18" s="154" t="s">
        <v>95</v>
      </c>
      <c r="E18" s="233">
        <f>E16+E17</f>
        <v>1336.9699999999998</v>
      </c>
      <c r="F18" s="155"/>
      <c r="G18" s="155"/>
      <c r="H18" s="156"/>
      <c r="I18" s="156"/>
      <c r="J18" s="156"/>
      <c r="K18" s="149"/>
      <c r="L18" s="150"/>
      <c r="M18" s="149"/>
      <c r="N18" s="149"/>
      <c r="O18" s="149"/>
      <c r="P18" s="151"/>
    </row>
    <row r="19" spans="1:66" s="45" customFormat="1" ht="33.6" customHeight="1" x14ac:dyDescent="0.25">
      <c r="A19" s="144">
        <f>IF(COUNTBLANK(E19)=1," ",COUNTA($E$13:E19))</f>
        <v>5</v>
      </c>
      <c r="B19" s="152"/>
      <c r="C19" s="153" t="s">
        <v>168</v>
      </c>
      <c r="D19" s="154" t="s">
        <v>95</v>
      </c>
      <c r="E19" s="233">
        <f>574.56+70</f>
        <v>644.55999999999995</v>
      </c>
      <c r="F19" s="155"/>
      <c r="G19" s="155"/>
      <c r="H19" s="156"/>
      <c r="I19" s="156"/>
      <c r="J19" s="156"/>
      <c r="K19" s="149"/>
      <c r="L19" s="150"/>
      <c r="M19" s="149"/>
      <c r="N19" s="149"/>
      <c r="O19" s="149"/>
      <c r="P19" s="151"/>
    </row>
    <row r="20" spans="1:66" ht="15.6" x14ac:dyDescent="0.25">
      <c r="A20" s="144" t="str">
        <f>IF(COUNTBLANK(E20)=1," ",COUNTA($E$13:E20))</f>
        <v xml:space="preserve"> </v>
      </c>
      <c r="B20" s="211">
        <v>0</v>
      </c>
      <c r="C20" s="282" t="s">
        <v>111</v>
      </c>
      <c r="D20" s="14"/>
      <c r="E20" s="14"/>
      <c r="F20" s="212"/>
      <c r="G20" s="213"/>
      <c r="H20" s="156"/>
      <c r="I20" s="213"/>
      <c r="J20" s="213"/>
      <c r="K20" s="213"/>
      <c r="L20" s="212"/>
      <c r="M20" s="213"/>
      <c r="N20" s="213"/>
      <c r="O20" s="213"/>
      <c r="P20" s="214"/>
    </row>
    <row r="21" spans="1:66" s="45" customFormat="1" x14ac:dyDescent="0.25">
      <c r="A21" s="144">
        <f>IF(COUNTBLANK(E21)=1," ",COUNTA($E$13:E21))</f>
        <v>6</v>
      </c>
      <c r="B21" s="215"/>
      <c r="C21" s="216" t="s">
        <v>99</v>
      </c>
      <c r="D21" s="158" t="s">
        <v>78</v>
      </c>
      <c r="E21" s="233">
        <v>1</v>
      </c>
      <c r="F21" s="155"/>
      <c r="G21" s="155"/>
      <c r="H21" s="156"/>
      <c r="I21" s="156"/>
      <c r="J21" s="156"/>
      <c r="K21" s="149"/>
      <c r="L21" s="150"/>
      <c r="M21" s="149"/>
      <c r="N21" s="149"/>
      <c r="O21" s="149"/>
      <c r="P21" s="151"/>
    </row>
    <row r="22" spans="1:66" ht="15.6" x14ac:dyDescent="0.25">
      <c r="A22" s="144" t="str">
        <f>IF(COUNTBLANK(E22)=1," ",COUNTA($E$13:E22))</f>
        <v xml:space="preserve"> </v>
      </c>
      <c r="B22" s="211"/>
      <c r="C22" s="217" t="s">
        <v>112</v>
      </c>
      <c r="D22" s="14"/>
      <c r="E22" s="14"/>
      <c r="F22" s="212"/>
      <c r="G22" s="213"/>
      <c r="H22" s="156"/>
      <c r="I22" s="213"/>
      <c r="J22" s="213"/>
      <c r="K22" s="213"/>
      <c r="L22" s="212"/>
      <c r="M22" s="213"/>
      <c r="N22" s="213"/>
      <c r="O22" s="213"/>
      <c r="P22" s="214"/>
    </row>
    <row r="23" spans="1:66" s="45" customFormat="1" ht="39.6" x14ac:dyDescent="0.25">
      <c r="A23" s="144">
        <f>IF(COUNTBLANK(E23)=1," ",COUNTA($E$13:E23))</f>
        <v>7</v>
      </c>
      <c r="B23" s="215"/>
      <c r="C23" s="216" t="s">
        <v>113</v>
      </c>
      <c r="D23" s="158" t="s">
        <v>95</v>
      </c>
      <c r="E23" s="233">
        <f>16.2*1.1*0.2</f>
        <v>3.5640000000000001</v>
      </c>
      <c r="F23" s="155"/>
      <c r="G23" s="155"/>
      <c r="H23" s="156"/>
      <c r="I23" s="156"/>
      <c r="J23" s="156"/>
      <c r="K23" s="218"/>
      <c r="L23" s="155"/>
      <c r="M23" s="218"/>
      <c r="N23" s="218"/>
      <c r="O23" s="218"/>
      <c r="P23" s="219"/>
    </row>
    <row r="24" spans="1:66" s="45" customFormat="1" ht="39.6" x14ac:dyDescent="0.25">
      <c r="A24" s="144">
        <f>IF(COUNTBLANK(E24)=1," ",COUNTA($E$13:E24))</f>
        <v>8</v>
      </c>
      <c r="B24" s="220"/>
      <c r="C24" s="162" t="s">
        <v>114</v>
      </c>
      <c r="D24" s="158" t="s">
        <v>115</v>
      </c>
      <c r="E24" s="234">
        <f>0.0124*20</f>
        <v>0.248</v>
      </c>
      <c r="F24" s="155"/>
      <c r="G24" s="155"/>
      <c r="H24" s="156"/>
      <c r="I24" s="156"/>
      <c r="J24" s="156"/>
      <c r="K24" s="149"/>
      <c r="L24" s="150"/>
      <c r="M24" s="149"/>
      <c r="N24" s="149"/>
      <c r="O24" s="149"/>
      <c r="P24" s="151"/>
    </row>
    <row r="25" spans="1:66" s="45" customFormat="1" ht="26.4" x14ac:dyDescent="0.25">
      <c r="A25" s="144">
        <f>IF(COUNTBLANK(E25)=1," ",COUNTA($E$13:E25))</f>
        <v>9</v>
      </c>
      <c r="B25" s="215"/>
      <c r="C25" s="272" t="s">
        <v>294</v>
      </c>
      <c r="D25" s="158" t="s">
        <v>115</v>
      </c>
      <c r="E25" s="234">
        <f>E24*1.15</f>
        <v>0.28519999999999995</v>
      </c>
      <c r="F25" s="155"/>
      <c r="G25" s="155"/>
      <c r="H25" s="156"/>
      <c r="I25" s="156"/>
      <c r="J25" s="156"/>
      <c r="K25" s="149"/>
      <c r="L25" s="150"/>
      <c r="M25" s="149"/>
      <c r="N25" s="149"/>
      <c r="O25" s="149"/>
      <c r="P25" s="151"/>
    </row>
    <row r="26" spans="1:66" s="45" customFormat="1" ht="26.4" x14ac:dyDescent="0.25">
      <c r="A26" s="144">
        <f>IF(COUNTBLANK(E26)=1," ",COUNTA($E$13:E26))</f>
        <v>10</v>
      </c>
      <c r="B26" s="215"/>
      <c r="C26" s="272" t="s">
        <v>295</v>
      </c>
      <c r="D26" s="154" t="s">
        <v>78</v>
      </c>
      <c r="E26" s="234">
        <v>1</v>
      </c>
      <c r="F26" s="155"/>
      <c r="G26" s="155"/>
      <c r="H26" s="156"/>
      <c r="I26" s="156"/>
      <c r="J26" s="156"/>
      <c r="K26" s="149"/>
      <c r="L26" s="150"/>
      <c r="M26" s="149"/>
      <c r="N26" s="149"/>
      <c r="O26" s="149"/>
      <c r="P26" s="151"/>
    </row>
    <row r="27" spans="1:66" s="45" customFormat="1" x14ac:dyDescent="0.25">
      <c r="A27" s="144">
        <f>IF(COUNTBLANK(E27)=1," ",COUNTA($E$13:E27))</f>
        <v>11</v>
      </c>
      <c r="B27" s="215"/>
      <c r="C27" s="162" t="s">
        <v>288</v>
      </c>
      <c r="D27" s="263" t="s">
        <v>29</v>
      </c>
      <c r="E27" s="234">
        <v>39</v>
      </c>
      <c r="F27" s="155"/>
      <c r="G27" s="155"/>
      <c r="H27" s="156"/>
      <c r="I27" s="156"/>
      <c r="J27" s="156"/>
      <c r="K27" s="149"/>
      <c r="L27" s="150"/>
      <c r="M27" s="149"/>
      <c r="N27" s="149"/>
      <c r="O27" s="149"/>
      <c r="P27" s="151"/>
    </row>
    <row r="28" spans="1:66" s="45" customFormat="1" x14ac:dyDescent="0.25">
      <c r="A28" s="144">
        <f>IF(COUNTBLANK(E28)=1," ",COUNTA($E$13:E28))</f>
        <v>12</v>
      </c>
      <c r="B28" s="215"/>
      <c r="C28" s="272" t="s">
        <v>289</v>
      </c>
      <c r="D28" s="158" t="s">
        <v>29</v>
      </c>
      <c r="E28" s="233">
        <f>E27</f>
        <v>39</v>
      </c>
      <c r="F28" s="155"/>
      <c r="G28" s="155"/>
      <c r="H28" s="156"/>
      <c r="I28" s="156"/>
      <c r="J28" s="156"/>
      <c r="K28" s="149"/>
      <c r="L28" s="150"/>
      <c r="M28" s="149"/>
      <c r="N28" s="149"/>
      <c r="O28" s="149"/>
      <c r="P28" s="151"/>
    </row>
    <row r="29" spans="1:66" s="45" customFormat="1" ht="39.6" x14ac:dyDescent="0.25">
      <c r="A29" s="144">
        <f>IF(COUNTBLANK(E29)=1," ",COUNTA($E$13:E29))</f>
        <v>13</v>
      </c>
      <c r="B29" s="215"/>
      <c r="C29" s="272" t="s">
        <v>290</v>
      </c>
      <c r="D29" s="158" t="s">
        <v>29</v>
      </c>
      <c r="E29" s="233">
        <f>E27</f>
        <v>39</v>
      </c>
      <c r="F29" s="155"/>
      <c r="G29" s="155"/>
      <c r="H29" s="156"/>
      <c r="I29" s="156"/>
      <c r="J29" s="156"/>
      <c r="K29" s="149"/>
      <c r="L29" s="150"/>
      <c r="M29" s="149"/>
      <c r="N29" s="149"/>
      <c r="O29" s="149"/>
      <c r="P29" s="151"/>
    </row>
    <row r="30" spans="1:66" s="45" customFormat="1" ht="26.4" x14ac:dyDescent="0.25">
      <c r="A30" s="144">
        <f>IF(COUNTBLANK(E30)=1," ",COUNTA($E$13:E30))</f>
        <v>14</v>
      </c>
      <c r="B30" s="215"/>
      <c r="C30" s="162" t="s">
        <v>299</v>
      </c>
      <c r="D30" s="221" t="s">
        <v>95</v>
      </c>
      <c r="E30" s="234">
        <v>4.8600000000000003</v>
      </c>
      <c r="F30" s="155"/>
      <c r="G30" s="155"/>
      <c r="H30" s="156"/>
      <c r="I30" s="156"/>
      <c r="J30" s="156"/>
      <c r="K30" s="149"/>
      <c r="L30" s="150"/>
      <c r="M30" s="149"/>
      <c r="N30" s="149"/>
      <c r="O30" s="149"/>
      <c r="P30" s="151"/>
    </row>
    <row r="31" spans="1:66" s="267" customFormat="1" ht="13.2" x14ac:dyDescent="0.2">
      <c r="A31" s="144">
        <f>IF(COUNTBLANK(E31)=1," ",COUNTA($E$13:E31))</f>
        <v>15</v>
      </c>
      <c r="B31" s="280"/>
      <c r="C31" s="272" t="s">
        <v>296</v>
      </c>
      <c r="D31" s="158" t="s">
        <v>95</v>
      </c>
      <c r="E31" s="233">
        <f>ROUND(E30*1.1,2)</f>
        <v>5.35</v>
      </c>
      <c r="F31" s="155"/>
      <c r="G31" s="155"/>
      <c r="H31" s="156"/>
      <c r="I31" s="156"/>
      <c r="J31" s="156"/>
      <c r="K31" s="149"/>
      <c r="L31" s="150"/>
      <c r="M31" s="149"/>
      <c r="N31" s="149"/>
      <c r="O31" s="149"/>
      <c r="P31" s="151"/>
      <c r="Q31" s="264"/>
      <c r="R31" s="264"/>
      <c r="S31" s="264"/>
      <c r="T31" s="265"/>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row>
    <row r="32" spans="1:66" s="267" customFormat="1" ht="13.2" x14ac:dyDescent="0.2">
      <c r="A32" s="144">
        <f>IF(COUNTBLANK(E32)=1," ",COUNTA($E$13:E32))</f>
        <v>16</v>
      </c>
      <c r="B32" s="280"/>
      <c r="C32" s="272" t="s">
        <v>291</v>
      </c>
      <c r="D32" s="158" t="s">
        <v>292</v>
      </c>
      <c r="E32" s="233">
        <f>ROUND(E31/8*1,2)</f>
        <v>0.67</v>
      </c>
      <c r="F32" s="155"/>
      <c r="G32" s="155"/>
      <c r="H32" s="156"/>
      <c r="I32" s="156"/>
      <c r="J32" s="156"/>
      <c r="K32" s="149"/>
      <c r="L32" s="150"/>
      <c r="M32" s="149"/>
      <c r="N32" s="149"/>
      <c r="O32" s="149"/>
      <c r="P32" s="151"/>
      <c r="Q32" s="264"/>
      <c r="R32" s="264"/>
      <c r="S32" s="264"/>
      <c r="T32" s="265"/>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row>
    <row r="33" spans="1:69" s="267" customFormat="1" ht="13.2" x14ac:dyDescent="0.2">
      <c r="A33" s="144">
        <f>IF(COUNTBLANK(E33)=1," ",COUNTA($E$13:E33))</f>
        <v>17</v>
      </c>
      <c r="B33" s="280"/>
      <c r="C33" s="272" t="s">
        <v>293</v>
      </c>
      <c r="D33" s="158" t="s">
        <v>292</v>
      </c>
      <c r="E33" s="233">
        <f>ROUND(E31/8*2,2)</f>
        <v>1.34</v>
      </c>
      <c r="F33" s="155"/>
      <c r="G33" s="155"/>
      <c r="H33" s="156"/>
      <c r="I33" s="156"/>
      <c r="J33" s="156"/>
      <c r="K33" s="149"/>
      <c r="L33" s="150"/>
      <c r="M33" s="149"/>
      <c r="N33" s="149"/>
      <c r="O33" s="149"/>
      <c r="P33" s="151"/>
      <c r="Q33" s="264"/>
      <c r="R33" s="264"/>
      <c r="S33" s="264"/>
      <c r="T33" s="265"/>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row>
    <row r="34" spans="1:69" s="267" customFormat="1" ht="13.2" x14ac:dyDescent="0.2">
      <c r="A34" s="144">
        <f>IF(COUNTBLANK(E34)=1," ",COUNTA($E$13:E34))</f>
        <v>18</v>
      </c>
      <c r="B34" s="280"/>
      <c r="C34" s="272" t="s">
        <v>273</v>
      </c>
      <c r="D34" s="154" t="s">
        <v>78</v>
      </c>
      <c r="E34" s="233">
        <v>1</v>
      </c>
      <c r="F34" s="155"/>
      <c r="G34" s="155"/>
      <c r="H34" s="156"/>
      <c r="I34" s="156"/>
      <c r="J34" s="156"/>
      <c r="K34" s="149"/>
      <c r="L34" s="150"/>
      <c r="M34" s="149"/>
      <c r="N34" s="149"/>
      <c r="O34" s="149"/>
      <c r="P34" s="151"/>
      <c r="Q34" s="264"/>
      <c r="R34" s="264"/>
      <c r="S34" s="264"/>
      <c r="T34" s="268"/>
      <c r="U34" s="268"/>
      <c r="V34" s="268"/>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row>
    <row r="35" spans="1:69" s="45" customFormat="1" x14ac:dyDescent="0.25">
      <c r="A35" s="144">
        <f>IF(COUNTBLANK(E35)=1," ",COUNTA($E$13:E35))</f>
        <v>19</v>
      </c>
      <c r="B35" s="211"/>
      <c r="C35" s="162" t="s">
        <v>116</v>
      </c>
      <c r="D35" s="14" t="s">
        <v>100</v>
      </c>
      <c r="E35" s="235">
        <f>4*20</f>
        <v>80</v>
      </c>
      <c r="F35" s="155"/>
      <c r="G35" s="155"/>
      <c r="H35" s="156"/>
      <c r="I35" s="156"/>
      <c r="J35" s="156"/>
      <c r="K35" s="149"/>
      <c r="L35" s="150"/>
      <c r="M35" s="149"/>
      <c r="N35" s="149"/>
      <c r="O35" s="149"/>
      <c r="P35" s="151"/>
    </row>
    <row r="36" spans="1:69" s="45" customFormat="1" x14ac:dyDescent="0.25">
      <c r="A36" s="144">
        <f>IF(COUNTBLANK(E36)=1," ",COUNTA($E$13:E36))</f>
        <v>20</v>
      </c>
      <c r="B36" s="211"/>
      <c r="C36" s="270" t="s">
        <v>273</v>
      </c>
      <c r="D36" s="263" t="s">
        <v>78</v>
      </c>
      <c r="E36" s="271">
        <v>1</v>
      </c>
      <c r="F36" s="155"/>
      <c r="G36" s="155"/>
      <c r="H36" s="156"/>
      <c r="I36" s="156"/>
      <c r="J36" s="156"/>
      <c r="K36" s="149"/>
      <c r="L36" s="150"/>
      <c r="M36" s="149"/>
      <c r="N36" s="149"/>
      <c r="O36" s="149"/>
      <c r="P36" s="151"/>
    </row>
    <row r="37" spans="1:69" ht="15.6" x14ac:dyDescent="0.25">
      <c r="A37" s="144" t="str">
        <f>IF(COUNTBLANK(E37)=1," ",COUNTA($E$13:E37))</f>
        <v xml:space="preserve"> </v>
      </c>
      <c r="B37" s="211"/>
      <c r="C37" s="217" t="s">
        <v>117</v>
      </c>
      <c r="D37" s="14"/>
      <c r="E37" s="14"/>
      <c r="F37" s="155"/>
      <c r="G37" s="155"/>
      <c r="H37" s="156"/>
      <c r="I37" s="156"/>
      <c r="J37" s="156"/>
      <c r="K37" s="149"/>
      <c r="L37" s="150"/>
      <c r="M37" s="149"/>
      <c r="N37" s="149"/>
      <c r="O37" s="149"/>
      <c r="P37" s="151"/>
    </row>
    <row r="38" spans="1:69" s="45" customFormat="1" ht="39.6" x14ac:dyDescent="0.25">
      <c r="A38" s="144">
        <f>IF(COUNTBLANK(E38)=1," ",COUNTA($E$13:E38))</f>
        <v>21</v>
      </c>
      <c r="B38" s="215"/>
      <c r="C38" s="216" t="s">
        <v>113</v>
      </c>
      <c r="D38" s="158" t="s">
        <v>95</v>
      </c>
      <c r="E38" s="233">
        <f>25.92*1.1*0.2</f>
        <v>5.7024000000000008</v>
      </c>
      <c r="F38" s="155"/>
      <c r="G38" s="155"/>
      <c r="H38" s="156"/>
      <c r="I38" s="156"/>
      <c r="J38" s="156"/>
      <c r="K38" s="149"/>
      <c r="L38" s="150"/>
      <c r="M38" s="149"/>
      <c r="N38" s="149"/>
      <c r="O38" s="149"/>
      <c r="P38" s="151"/>
    </row>
    <row r="39" spans="1:69" s="45" customFormat="1" ht="39.6" x14ac:dyDescent="0.25">
      <c r="A39" s="144">
        <f>IF(COUNTBLANK(E39)=1," ",COUNTA($E$13:E39))</f>
        <v>22</v>
      </c>
      <c r="B39" s="220"/>
      <c r="C39" s="162" t="s">
        <v>114</v>
      </c>
      <c r="D39" s="158" t="s">
        <v>115</v>
      </c>
      <c r="E39" s="234">
        <f>0.0214*18</f>
        <v>0.38519999999999999</v>
      </c>
      <c r="F39" s="155"/>
      <c r="G39" s="155"/>
      <c r="H39" s="156"/>
      <c r="I39" s="156"/>
      <c r="J39" s="156"/>
      <c r="K39" s="149"/>
      <c r="L39" s="150"/>
      <c r="M39" s="149"/>
      <c r="N39" s="149"/>
      <c r="O39" s="149"/>
      <c r="P39" s="151"/>
    </row>
    <row r="40" spans="1:69" s="45" customFormat="1" ht="26.4" x14ac:dyDescent="0.25">
      <c r="A40" s="144">
        <f>IF(COUNTBLANK(E40)=1," ",COUNTA($E$13:E40))</f>
        <v>23</v>
      </c>
      <c r="B40" s="215"/>
      <c r="C40" s="272" t="s">
        <v>294</v>
      </c>
      <c r="D40" s="158" t="s">
        <v>115</v>
      </c>
      <c r="E40" s="234">
        <f>E39*1.15</f>
        <v>0.44297999999999993</v>
      </c>
      <c r="F40" s="155"/>
      <c r="G40" s="155"/>
      <c r="H40" s="156"/>
      <c r="I40" s="156"/>
      <c r="J40" s="156"/>
      <c r="K40" s="149"/>
      <c r="L40" s="150"/>
      <c r="M40" s="149"/>
      <c r="N40" s="149"/>
      <c r="O40" s="149"/>
      <c r="P40" s="151"/>
    </row>
    <row r="41" spans="1:69" s="45" customFormat="1" ht="26.4" x14ac:dyDescent="0.25">
      <c r="A41" s="144">
        <f>IF(COUNTBLANK(E41)=1," ",COUNTA($E$13:E41))</f>
        <v>24</v>
      </c>
      <c r="B41" s="215"/>
      <c r="C41" s="272" t="s">
        <v>295</v>
      </c>
      <c r="D41" s="154" t="s">
        <v>78</v>
      </c>
      <c r="E41" s="234">
        <v>1</v>
      </c>
      <c r="F41" s="155"/>
      <c r="G41" s="155"/>
      <c r="H41" s="156"/>
      <c r="I41" s="156"/>
      <c r="J41" s="156"/>
      <c r="K41" s="149"/>
      <c r="L41" s="150"/>
      <c r="M41" s="149"/>
      <c r="N41" s="149"/>
      <c r="O41" s="149"/>
      <c r="P41" s="151"/>
    </row>
    <row r="42" spans="1:69" s="45" customFormat="1" x14ac:dyDescent="0.25">
      <c r="A42" s="144">
        <f>IF(COUNTBLANK(E42)=1," ",COUNTA($E$13:E42))</f>
        <v>25</v>
      </c>
      <c r="B42" s="215"/>
      <c r="C42" s="162" t="s">
        <v>288</v>
      </c>
      <c r="D42" s="263" t="s">
        <v>29</v>
      </c>
      <c r="E42" s="234">
        <v>63</v>
      </c>
      <c r="F42" s="155"/>
      <c r="G42" s="155"/>
      <c r="H42" s="156"/>
      <c r="I42" s="156"/>
      <c r="J42" s="156"/>
      <c r="K42" s="149"/>
      <c r="L42" s="150"/>
      <c r="M42" s="149"/>
      <c r="N42" s="149"/>
      <c r="O42" s="149"/>
      <c r="P42" s="151"/>
    </row>
    <row r="43" spans="1:69" s="45" customFormat="1" x14ac:dyDescent="0.25">
      <c r="A43" s="144">
        <f>IF(COUNTBLANK(E43)=1," ",COUNTA($E$13:E43))</f>
        <v>26</v>
      </c>
      <c r="B43" s="215"/>
      <c r="C43" s="272" t="s">
        <v>289</v>
      </c>
      <c r="D43" s="158" t="s">
        <v>29</v>
      </c>
      <c r="E43" s="233">
        <f>E42</f>
        <v>63</v>
      </c>
      <c r="F43" s="155"/>
      <c r="G43" s="155"/>
      <c r="H43" s="156"/>
      <c r="I43" s="156"/>
      <c r="J43" s="156"/>
      <c r="K43" s="149"/>
      <c r="L43" s="150"/>
      <c r="M43" s="149"/>
      <c r="N43" s="149"/>
      <c r="O43" s="149"/>
      <c r="P43" s="151"/>
    </row>
    <row r="44" spans="1:69" s="45" customFormat="1" ht="39.6" x14ac:dyDescent="0.25">
      <c r="A44" s="144">
        <f>IF(COUNTBLANK(E44)=1," ",COUNTA($E$13:E44))</f>
        <v>27</v>
      </c>
      <c r="B44" s="215"/>
      <c r="C44" s="272" t="s">
        <v>290</v>
      </c>
      <c r="D44" s="158" t="s">
        <v>29</v>
      </c>
      <c r="E44" s="233">
        <f>E42</f>
        <v>63</v>
      </c>
      <c r="F44" s="155"/>
      <c r="G44" s="155"/>
      <c r="H44" s="156"/>
      <c r="I44" s="156"/>
      <c r="J44" s="156"/>
      <c r="K44" s="149"/>
      <c r="L44" s="150"/>
      <c r="M44" s="149"/>
      <c r="N44" s="149"/>
      <c r="O44" s="149"/>
      <c r="P44" s="151"/>
    </row>
    <row r="45" spans="1:69" s="45" customFormat="1" ht="26.4" x14ac:dyDescent="0.25">
      <c r="A45" s="144">
        <f>IF(COUNTBLANK(E45)=1," ",COUNTA($E$13:E45))</f>
        <v>28</v>
      </c>
      <c r="B45" s="215"/>
      <c r="C45" s="162" t="s">
        <v>299</v>
      </c>
      <c r="D45" s="221" t="s">
        <v>95</v>
      </c>
      <c r="E45" s="234">
        <v>7.78</v>
      </c>
      <c r="F45" s="155"/>
      <c r="G45" s="155"/>
      <c r="H45" s="156"/>
      <c r="I45" s="156"/>
      <c r="J45" s="156"/>
      <c r="K45" s="149"/>
      <c r="L45" s="150"/>
      <c r="M45" s="149"/>
      <c r="N45" s="149"/>
      <c r="O45" s="149"/>
      <c r="P45" s="151"/>
    </row>
    <row r="46" spans="1:69" s="267" customFormat="1" ht="13.2" x14ac:dyDescent="0.2">
      <c r="A46" s="144">
        <f>IF(COUNTBLANK(E46)=1," ",COUNTA($E$13:E46))</f>
        <v>29</v>
      </c>
      <c r="B46" s="280"/>
      <c r="C46" s="272" t="s">
        <v>296</v>
      </c>
      <c r="D46" s="158" t="s">
        <v>95</v>
      </c>
      <c r="E46" s="233">
        <f>ROUND(E45*1.1,2)</f>
        <v>8.56</v>
      </c>
      <c r="F46" s="155"/>
      <c r="G46" s="155"/>
      <c r="H46" s="156"/>
      <c r="I46" s="156"/>
      <c r="J46" s="156"/>
      <c r="K46" s="149"/>
      <c r="L46" s="150"/>
      <c r="M46" s="149"/>
      <c r="N46" s="149"/>
      <c r="O46" s="149"/>
      <c r="P46" s="151"/>
      <c r="Q46" s="264"/>
      <c r="R46" s="264"/>
      <c r="S46" s="264"/>
      <c r="T46" s="265"/>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row>
    <row r="47" spans="1:69" s="267" customFormat="1" ht="13.2" x14ac:dyDescent="0.2">
      <c r="A47" s="144">
        <f>IF(COUNTBLANK(E47)=1," ",COUNTA($E$13:E47))</f>
        <v>30</v>
      </c>
      <c r="B47" s="280"/>
      <c r="C47" s="272" t="s">
        <v>291</v>
      </c>
      <c r="D47" s="158" t="s">
        <v>292</v>
      </c>
      <c r="E47" s="233">
        <f>ROUND(E46/8*1,2)</f>
        <v>1.07</v>
      </c>
      <c r="F47" s="155"/>
      <c r="G47" s="155"/>
      <c r="H47" s="156"/>
      <c r="I47" s="156"/>
      <c r="J47" s="156"/>
      <c r="K47" s="149"/>
      <c r="L47" s="150"/>
      <c r="M47" s="149"/>
      <c r="N47" s="149"/>
      <c r="O47" s="149"/>
      <c r="P47" s="151"/>
      <c r="Q47" s="264"/>
      <c r="R47" s="264"/>
      <c r="S47" s="264"/>
      <c r="T47" s="265"/>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row>
    <row r="48" spans="1:69" s="267" customFormat="1" ht="13.2" x14ac:dyDescent="0.2">
      <c r="A48" s="144">
        <f>IF(COUNTBLANK(E48)=1," ",COUNTA($E$13:E48))</f>
        <v>31</v>
      </c>
      <c r="B48" s="280"/>
      <c r="C48" s="272" t="s">
        <v>293</v>
      </c>
      <c r="D48" s="158" t="s">
        <v>292</v>
      </c>
      <c r="E48" s="233">
        <f>ROUND(E46/8*2,2)</f>
        <v>2.14</v>
      </c>
      <c r="F48" s="155"/>
      <c r="G48" s="155"/>
      <c r="H48" s="156"/>
      <c r="I48" s="156"/>
      <c r="J48" s="156"/>
      <c r="K48" s="149"/>
      <c r="L48" s="150"/>
      <c r="M48" s="149"/>
      <c r="N48" s="149"/>
      <c r="O48" s="149"/>
      <c r="P48" s="151"/>
      <c r="Q48" s="264"/>
      <c r="R48" s="264"/>
      <c r="S48" s="264"/>
      <c r="T48" s="265"/>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row>
    <row r="49" spans="1:69" s="267" customFormat="1" ht="13.2" x14ac:dyDescent="0.2">
      <c r="A49" s="144">
        <f>IF(COUNTBLANK(E49)=1," ",COUNTA($E$13:E49))</f>
        <v>32</v>
      </c>
      <c r="B49" s="280"/>
      <c r="C49" s="272" t="s">
        <v>273</v>
      </c>
      <c r="D49" s="154" t="s">
        <v>78</v>
      </c>
      <c r="E49" s="233">
        <v>1</v>
      </c>
      <c r="F49" s="155"/>
      <c r="G49" s="155"/>
      <c r="H49" s="156"/>
      <c r="I49" s="156"/>
      <c r="J49" s="156"/>
      <c r="K49" s="149"/>
      <c r="L49" s="150"/>
      <c r="M49" s="149"/>
      <c r="N49" s="149"/>
      <c r="O49" s="149"/>
      <c r="P49" s="151"/>
      <c r="Q49" s="264"/>
      <c r="R49" s="264"/>
      <c r="S49" s="264"/>
      <c r="T49" s="268"/>
      <c r="U49" s="268"/>
      <c r="V49" s="268"/>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row>
    <row r="50" spans="1:69" s="45" customFormat="1" x14ac:dyDescent="0.25">
      <c r="A50" s="144">
        <f>IF(COUNTBLANK(E50)=1," ",COUNTA($E$13:E50))</f>
        <v>33</v>
      </c>
      <c r="B50" s="211"/>
      <c r="C50" s="162" t="s">
        <v>116</v>
      </c>
      <c r="D50" s="14" t="s">
        <v>100</v>
      </c>
      <c r="E50" s="235">
        <f>4*18</f>
        <v>72</v>
      </c>
      <c r="F50" s="155"/>
      <c r="G50" s="155"/>
      <c r="H50" s="156"/>
      <c r="I50" s="156"/>
      <c r="J50" s="156"/>
      <c r="K50" s="149"/>
      <c r="L50" s="150"/>
      <c r="M50" s="149"/>
      <c r="N50" s="149"/>
      <c r="O50" s="149"/>
      <c r="P50" s="151"/>
    </row>
    <row r="51" spans="1:69" s="45" customFormat="1" x14ac:dyDescent="0.25">
      <c r="A51" s="144">
        <f>IF(COUNTBLANK(E51)=1," ",COUNTA($E$13:E51))</f>
        <v>34</v>
      </c>
      <c r="B51" s="211"/>
      <c r="C51" s="270" t="s">
        <v>273</v>
      </c>
      <c r="D51" s="263" t="s">
        <v>78</v>
      </c>
      <c r="E51" s="271">
        <v>1</v>
      </c>
      <c r="F51" s="155"/>
      <c r="G51" s="155"/>
      <c r="H51" s="156"/>
      <c r="I51" s="156"/>
      <c r="J51" s="156"/>
      <c r="K51" s="149"/>
      <c r="L51" s="150"/>
      <c r="M51" s="149"/>
      <c r="N51" s="149"/>
      <c r="O51" s="149"/>
      <c r="P51" s="151"/>
    </row>
    <row r="52" spans="1:69" ht="15.6" x14ac:dyDescent="0.25">
      <c r="A52" s="144" t="str">
        <f>IF(COUNTBLANK(E52)=1," ",COUNTA($E$13:E52))</f>
        <v xml:space="preserve"> </v>
      </c>
      <c r="B52" s="211"/>
      <c r="C52" s="217" t="s">
        <v>118</v>
      </c>
      <c r="D52" s="14"/>
      <c r="E52" s="14"/>
      <c r="F52" s="212"/>
      <c r="G52" s="213"/>
      <c r="H52" s="156"/>
      <c r="I52" s="213"/>
      <c r="J52" s="213"/>
      <c r="K52" s="213"/>
      <c r="L52" s="212"/>
      <c r="M52" s="213"/>
      <c r="N52" s="213"/>
      <c r="O52" s="213"/>
      <c r="P52" s="214"/>
    </row>
    <row r="53" spans="1:69" s="45" customFormat="1" ht="39.6" x14ac:dyDescent="0.25">
      <c r="A53" s="144">
        <f>IF(COUNTBLANK(E53)=1," ",COUNTA($E$13:E53))</f>
        <v>35</v>
      </c>
      <c r="B53" s="215"/>
      <c r="C53" s="216" t="s">
        <v>113</v>
      </c>
      <c r="D53" s="158" t="s">
        <v>95</v>
      </c>
      <c r="E53" s="233">
        <f>23.52*1.1*0.2</f>
        <v>5.1744000000000003</v>
      </c>
      <c r="F53" s="155"/>
      <c r="G53" s="155"/>
      <c r="H53" s="156"/>
      <c r="I53" s="156"/>
      <c r="J53" s="156"/>
      <c r="K53" s="218"/>
      <c r="L53" s="155"/>
      <c r="M53" s="218"/>
      <c r="N53" s="218"/>
      <c r="O53" s="218"/>
      <c r="P53" s="219"/>
    </row>
    <row r="54" spans="1:69" s="45" customFormat="1" ht="39.6" x14ac:dyDescent="0.25">
      <c r="A54" s="144">
        <f>IF(COUNTBLANK(E54)=1," ",COUNTA($E$13:E54))</f>
        <v>36</v>
      </c>
      <c r="B54" s="220"/>
      <c r="C54" s="162" t="s">
        <v>114</v>
      </c>
      <c r="D54" s="158" t="s">
        <v>115</v>
      </c>
      <c r="E54" s="234">
        <f>0.0286*12</f>
        <v>0.34320000000000001</v>
      </c>
      <c r="F54" s="155"/>
      <c r="G54" s="155"/>
      <c r="H54" s="156"/>
      <c r="I54" s="156"/>
      <c r="J54" s="156"/>
      <c r="K54" s="149"/>
      <c r="L54" s="150"/>
      <c r="M54" s="149"/>
      <c r="N54" s="149"/>
      <c r="O54" s="149"/>
      <c r="P54" s="151"/>
    </row>
    <row r="55" spans="1:69" s="45" customFormat="1" ht="26.4" x14ac:dyDescent="0.25">
      <c r="A55" s="144">
        <f>IF(COUNTBLANK(E55)=1," ",COUNTA($E$13:E55))</f>
        <v>37</v>
      </c>
      <c r="B55" s="215"/>
      <c r="C55" s="272" t="s">
        <v>294</v>
      </c>
      <c r="D55" s="158" t="s">
        <v>115</v>
      </c>
      <c r="E55" s="234">
        <f>E54*1.15</f>
        <v>0.39467999999999998</v>
      </c>
      <c r="F55" s="155"/>
      <c r="G55" s="155"/>
      <c r="H55" s="156"/>
      <c r="I55" s="156"/>
      <c r="J55" s="156"/>
      <c r="K55" s="149"/>
      <c r="L55" s="150"/>
      <c r="M55" s="149"/>
      <c r="N55" s="149"/>
      <c r="O55" s="149"/>
      <c r="P55" s="151"/>
    </row>
    <row r="56" spans="1:69" s="45" customFormat="1" ht="26.4" x14ac:dyDescent="0.25">
      <c r="A56" s="144">
        <f>IF(COUNTBLANK(E56)=1," ",COUNTA($E$13:E56))</f>
        <v>38</v>
      </c>
      <c r="B56" s="215"/>
      <c r="C56" s="269" t="s">
        <v>295</v>
      </c>
      <c r="D56" s="154" t="s">
        <v>78</v>
      </c>
      <c r="E56" s="234">
        <v>1</v>
      </c>
      <c r="F56" s="155"/>
      <c r="G56" s="155"/>
      <c r="H56" s="156"/>
      <c r="I56" s="156"/>
      <c r="J56" s="156"/>
      <c r="K56" s="149"/>
      <c r="L56" s="150"/>
      <c r="M56" s="149"/>
      <c r="N56" s="149"/>
      <c r="O56" s="149"/>
      <c r="P56" s="151"/>
    </row>
    <row r="57" spans="1:69" s="45" customFormat="1" x14ac:dyDescent="0.25">
      <c r="A57" s="144">
        <f>IF(COUNTBLANK(E57)=1," ",COUNTA($E$13:E57))</f>
        <v>39</v>
      </c>
      <c r="B57" s="215"/>
      <c r="C57" s="162" t="s">
        <v>288</v>
      </c>
      <c r="D57" s="263" t="s">
        <v>29</v>
      </c>
      <c r="E57" s="234">
        <v>64</v>
      </c>
      <c r="F57" s="155"/>
      <c r="G57" s="155"/>
      <c r="H57" s="156"/>
      <c r="I57" s="156"/>
      <c r="J57" s="156"/>
      <c r="K57" s="149"/>
      <c r="L57" s="150"/>
      <c r="M57" s="149"/>
      <c r="N57" s="149"/>
      <c r="O57" s="149"/>
      <c r="P57" s="151"/>
    </row>
    <row r="58" spans="1:69" s="45" customFormat="1" x14ac:dyDescent="0.25">
      <c r="A58" s="144">
        <f>IF(COUNTBLANK(E58)=1," ",COUNTA($E$13:E58))</f>
        <v>40</v>
      </c>
      <c r="B58" s="215"/>
      <c r="C58" s="272" t="s">
        <v>289</v>
      </c>
      <c r="D58" s="158" t="s">
        <v>29</v>
      </c>
      <c r="E58" s="233">
        <f>E57</f>
        <v>64</v>
      </c>
      <c r="F58" s="155"/>
      <c r="G58" s="155"/>
      <c r="H58" s="156"/>
      <c r="I58" s="156"/>
      <c r="J58" s="156"/>
      <c r="K58" s="149"/>
      <c r="L58" s="150"/>
      <c r="M58" s="149"/>
      <c r="N58" s="149"/>
      <c r="O58" s="149"/>
      <c r="P58" s="151"/>
    </row>
    <row r="59" spans="1:69" s="45" customFormat="1" ht="39.6" x14ac:dyDescent="0.25">
      <c r="A59" s="144">
        <f>IF(COUNTBLANK(E59)=1," ",COUNTA($E$13:E59))</f>
        <v>41</v>
      </c>
      <c r="B59" s="215"/>
      <c r="C59" s="272" t="s">
        <v>290</v>
      </c>
      <c r="D59" s="158" t="s">
        <v>29</v>
      </c>
      <c r="E59" s="233">
        <f>E57</f>
        <v>64</v>
      </c>
      <c r="F59" s="155"/>
      <c r="G59" s="155"/>
      <c r="H59" s="156"/>
      <c r="I59" s="156"/>
      <c r="J59" s="156"/>
      <c r="K59" s="149"/>
      <c r="L59" s="150"/>
      <c r="M59" s="149"/>
      <c r="N59" s="149"/>
      <c r="O59" s="149"/>
      <c r="P59" s="151"/>
    </row>
    <row r="60" spans="1:69" s="45" customFormat="1" ht="26.4" x14ac:dyDescent="0.25">
      <c r="A60" s="144">
        <f>IF(COUNTBLANK(E60)=1," ",COUNTA($E$13:E60))</f>
        <v>42</v>
      </c>
      <c r="B60" s="215"/>
      <c r="C60" s="162" t="s">
        <v>299</v>
      </c>
      <c r="D60" s="221" t="s">
        <v>95</v>
      </c>
      <c r="E60" s="234">
        <v>8</v>
      </c>
      <c r="F60" s="155"/>
      <c r="G60" s="155"/>
      <c r="H60" s="156"/>
      <c r="I60" s="156"/>
      <c r="J60" s="156"/>
      <c r="K60" s="149"/>
      <c r="L60" s="150"/>
      <c r="M60" s="149"/>
      <c r="N60" s="149"/>
      <c r="O60" s="149"/>
      <c r="P60" s="151"/>
    </row>
    <row r="61" spans="1:69" s="267" customFormat="1" ht="13.2" x14ac:dyDescent="0.2">
      <c r="A61" s="144">
        <f>IF(COUNTBLANK(E61)=1," ",COUNTA($E$13:E61))</f>
        <v>43</v>
      </c>
      <c r="B61" s="280"/>
      <c r="C61" s="272" t="s">
        <v>296</v>
      </c>
      <c r="D61" s="158" t="s">
        <v>95</v>
      </c>
      <c r="E61" s="233">
        <f>ROUND(E60*1.1,2)</f>
        <v>8.8000000000000007</v>
      </c>
      <c r="F61" s="155"/>
      <c r="G61" s="155"/>
      <c r="H61" s="156"/>
      <c r="I61" s="156"/>
      <c r="J61" s="156"/>
      <c r="K61" s="149"/>
      <c r="L61" s="150"/>
      <c r="M61" s="149"/>
      <c r="N61" s="149"/>
      <c r="O61" s="149"/>
      <c r="P61" s="151"/>
      <c r="Q61" s="264"/>
      <c r="R61" s="264"/>
      <c r="S61" s="264"/>
      <c r="T61" s="265"/>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c r="AY61" s="266"/>
      <c r="AZ61" s="266"/>
      <c r="BA61" s="266"/>
      <c r="BB61" s="266"/>
      <c r="BC61" s="266"/>
      <c r="BD61" s="266"/>
      <c r="BE61" s="266"/>
      <c r="BF61" s="266"/>
      <c r="BG61" s="266"/>
      <c r="BH61" s="266"/>
      <c r="BI61" s="266"/>
      <c r="BJ61" s="266"/>
      <c r="BK61" s="266"/>
      <c r="BL61" s="266"/>
      <c r="BM61" s="266"/>
      <c r="BN61" s="266"/>
    </row>
    <row r="62" spans="1:69" s="267" customFormat="1" ht="13.2" x14ac:dyDescent="0.2">
      <c r="A62" s="144">
        <f>IF(COUNTBLANK(E62)=1," ",COUNTA($E$13:E62))</f>
        <v>44</v>
      </c>
      <c r="B62" s="280"/>
      <c r="C62" s="272" t="s">
        <v>291</v>
      </c>
      <c r="D62" s="158" t="s">
        <v>292</v>
      </c>
      <c r="E62" s="233">
        <f>ROUND(E61/8*1,2)</f>
        <v>1.1000000000000001</v>
      </c>
      <c r="F62" s="155"/>
      <c r="G62" s="155"/>
      <c r="H62" s="156"/>
      <c r="I62" s="156"/>
      <c r="J62" s="156"/>
      <c r="K62" s="149"/>
      <c r="L62" s="150"/>
      <c r="M62" s="149"/>
      <c r="N62" s="149"/>
      <c r="O62" s="149"/>
      <c r="P62" s="151"/>
      <c r="Q62" s="264"/>
      <c r="R62" s="264"/>
      <c r="S62" s="264"/>
      <c r="T62" s="265"/>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Q62" s="266"/>
      <c r="AR62" s="266"/>
      <c r="AS62" s="266"/>
      <c r="AT62" s="266"/>
      <c r="AU62" s="266"/>
      <c r="AV62" s="266"/>
      <c r="AW62" s="266"/>
      <c r="AX62" s="266"/>
      <c r="AY62" s="266"/>
      <c r="AZ62" s="266"/>
      <c r="BA62" s="266"/>
      <c r="BB62" s="266"/>
      <c r="BC62" s="266"/>
      <c r="BD62" s="266"/>
      <c r="BE62" s="266"/>
      <c r="BF62" s="266"/>
      <c r="BG62" s="266"/>
      <c r="BH62" s="266"/>
      <c r="BI62" s="266"/>
      <c r="BJ62" s="266"/>
      <c r="BK62" s="266"/>
      <c r="BL62" s="266"/>
      <c r="BM62" s="266"/>
      <c r="BN62" s="266"/>
    </row>
    <row r="63" spans="1:69" s="267" customFormat="1" ht="13.2" x14ac:dyDescent="0.2">
      <c r="A63" s="144">
        <f>IF(COUNTBLANK(E63)=1," ",COUNTA($E$13:E63))</f>
        <v>45</v>
      </c>
      <c r="B63" s="280"/>
      <c r="C63" s="272" t="s">
        <v>293</v>
      </c>
      <c r="D63" s="158" t="s">
        <v>292</v>
      </c>
      <c r="E63" s="233">
        <f>ROUND(E61/8*2,2)</f>
        <v>2.2000000000000002</v>
      </c>
      <c r="F63" s="155"/>
      <c r="G63" s="155"/>
      <c r="H63" s="156"/>
      <c r="I63" s="156"/>
      <c r="J63" s="156"/>
      <c r="K63" s="149"/>
      <c r="L63" s="150"/>
      <c r="M63" s="149"/>
      <c r="N63" s="149"/>
      <c r="O63" s="149"/>
      <c r="P63" s="151"/>
      <c r="Q63" s="264"/>
      <c r="R63" s="264"/>
      <c r="S63" s="264"/>
      <c r="T63" s="265"/>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6"/>
      <c r="AX63" s="266"/>
      <c r="AY63" s="266"/>
      <c r="AZ63" s="266"/>
      <c r="BA63" s="266"/>
      <c r="BB63" s="266"/>
      <c r="BC63" s="266"/>
      <c r="BD63" s="266"/>
      <c r="BE63" s="266"/>
      <c r="BF63" s="266"/>
      <c r="BG63" s="266"/>
      <c r="BH63" s="266"/>
      <c r="BI63" s="266"/>
      <c r="BJ63" s="266"/>
      <c r="BK63" s="266"/>
      <c r="BL63" s="266"/>
      <c r="BM63" s="266"/>
      <c r="BN63" s="266"/>
    </row>
    <row r="64" spans="1:69" s="267" customFormat="1" ht="13.2" x14ac:dyDescent="0.2">
      <c r="A64" s="144">
        <f>IF(COUNTBLANK(E64)=1," ",COUNTA($E$13:E64))</f>
        <v>46</v>
      </c>
      <c r="B64" s="280"/>
      <c r="C64" s="272" t="s">
        <v>273</v>
      </c>
      <c r="D64" s="154" t="s">
        <v>78</v>
      </c>
      <c r="E64" s="233">
        <v>1</v>
      </c>
      <c r="F64" s="155"/>
      <c r="G64" s="155"/>
      <c r="H64" s="156"/>
      <c r="I64" s="156"/>
      <c r="J64" s="156"/>
      <c r="K64" s="149"/>
      <c r="L64" s="150"/>
      <c r="M64" s="149"/>
      <c r="N64" s="149"/>
      <c r="O64" s="149"/>
      <c r="P64" s="151"/>
      <c r="Q64" s="264"/>
      <c r="R64" s="264"/>
      <c r="S64" s="264"/>
      <c r="T64" s="268"/>
      <c r="U64" s="268"/>
      <c r="V64" s="268"/>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6"/>
    </row>
    <row r="65" spans="1:69" s="45" customFormat="1" x14ac:dyDescent="0.25">
      <c r="A65" s="144">
        <f>IF(COUNTBLANK(E65)=1," ",COUNTA($E$13:E65))</f>
        <v>47</v>
      </c>
      <c r="B65" s="211"/>
      <c r="C65" s="162" t="s">
        <v>119</v>
      </c>
      <c r="D65" s="14" t="s">
        <v>100</v>
      </c>
      <c r="E65" s="235">
        <f>4*12</f>
        <v>48</v>
      </c>
      <c r="F65" s="155"/>
      <c r="G65" s="155"/>
      <c r="H65" s="156"/>
      <c r="I65" s="156"/>
      <c r="J65" s="156"/>
      <c r="K65" s="149"/>
      <c r="L65" s="150"/>
      <c r="M65" s="149"/>
      <c r="N65" s="149"/>
      <c r="O65" s="149"/>
      <c r="P65" s="151"/>
    </row>
    <row r="66" spans="1:69" s="45" customFormat="1" x14ac:dyDescent="0.25">
      <c r="A66" s="144">
        <f>IF(COUNTBLANK(E66)=1," ",COUNTA($E$13:E66))</f>
        <v>48</v>
      </c>
      <c r="B66" s="211"/>
      <c r="C66" s="270" t="s">
        <v>273</v>
      </c>
      <c r="D66" s="263" t="s">
        <v>78</v>
      </c>
      <c r="E66" s="271">
        <v>1</v>
      </c>
      <c r="F66" s="155"/>
      <c r="G66" s="155"/>
      <c r="H66" s="156"/>
      <c r="I66" s="156"/>
      <c r="J66" s="156"/>
      <c r="K66" s="149"/>
      <c r="L66" s="150"/>
      <c r="M66" s="149"/>
      <c r="N66" s="149"/>
      <c r="O66" s="149"/>
      <c r="P66" s="151"/>
    </row>
    <row r="67" spans="1:69" ht="15.6" x14ac:dyDescent="0.25">
      <c r="A67" s="144" t="str">
        <f>IF(COUNTBLANK(E67)=1," ",COUNTA($E$13:E67))</f>
        <v xml:space="preserve"> </v>
      </c>
      <c r="B67" s="211"/>
      <c r="C67" s="217" t="s">
        <v>120</v>
      </c>
      <c r="D67" s="14"/>
      <c r="E67" s="14"/>
      <c r="F67" s="212"/>
      <c r="G67" s="213"/>
      <c r="H67" s="156"/>
      <c r="I67" s="213"/>
      <c r="J67" s="213"/>
      <c r="K67" s="213"/>
      <c r="L67" s="212"/>
      <c r="M67" s="213"/>
      <c r="N67" s="213"/>
      <c r="O67" s="213"/>
      <c r="P67" s="214"/>
    </row>
    <row r="68" spans="1:69" s="45" customFormat="1" ht="39.6" x14ac:dyDescent="0.25">
      <c r="A68" s="144">
        <f>IF(COUNTBLANK(E68)=1," ",COUNTA($E$13:E68))</f>
        <v>49</v>
      </c>
      <c r="B68" s="215"/>
      <c r="C68" s="216" t="s">
        <v>113</v>
      </c>
      <c r="D68" s="158" t="s">
        <v>95</v>
      </c>
      <c r="E68" s="233">
        <f>9.6*1.1*0.2</f>
        <v>2.1120000000000001</v>
      </c>
      <c r="F68" s="155"/>
      <c r="G68" s="155"/>
      <c r="H68" s="156"/>
      <c r="I68" s="156"/>
      <c r="J68" s="156"/>
      <c r="K68" s="218"/>
      <c r="L68" s="155"/>
      <c r="M68" s="218"/>
      <c r="N68" s="218"/>
      <c r="O68" s="218"/>
      <c r="P68" s="219"/>
    </row>
    <row r="69" spans="1:69" s="45" customFormat="1" ht="39.6" x14ac:dyDescent="0.25">
      <c r="A69" s="144">
        <f>IF(COUNTBLANK(E69)=1," ",COUNTA($E$13:E69))</f>
        <v>50</v>
      </c>
      <c r="B69" s="220"/>
      <c r="C69" s="162" t="s">
        <v>114</v>
      </c>
      <c r="D69" s="158" t="s">
        <v>115</v>
      </c>
      <c r="E69" s="234">
        <f>0.0171*8</f>
        <v>0.1368</v>
      </c>
      <c r="F69" s="155"/>
      <c r="G69" s="155"/>
      <c r="H69" s="156"/>
      <c r="I69" s="156"/>
      <c r="J69" s="156"/>
      <c r="K69" s="149"/>
      <c r="L69" s="150"/>
      <c r="M69" s="149"/>
      <c r="N69" s="149"/>
      <c r="O69" s="149"/>
      <c r="P69" s="151"/>
    </row>
    <row r="70" spans="1:69" s="45" customFormat="1" ht="26.4" x14ac:dyDescent="0.25">
      <c r="A70" s="144">
        <f>IF(COUNTBLANK(E70)=1," ",COUNTA($E$13:E70))</f>
        <v>51</v>
      </c>
      <c r="B70" s="215"/>
      <c r="C70" s="272" t="s">
        <v>294</v>
      </c>
      <c r="D70" s="158" t="s">
        <v>115</v>
      </c>
      <c r="E70" s="234">
        <f>E69*1.15</f>
        <v>0.15731999999999999</v>
      </c>
      <c r="F70" s="155"/>
      <c r="G70" s="155"/>
      <c r="H70" s="156"/>
      <c r="I70" s="156"/>
      <c r="J70" s="156"/>
      <c r="K70" s="149"/>
      <c r="L70" s="150"/>
      <c r="M70" s="149"/>
      <c r="N70" s="149"/>
      <c r="O70" s="149"/>
      <c r="P70" s="151"/>
    </row>
    <row r="71" spans="1:69" s="45" customFormat="1" ht="26.4" x14ac:dyDescent="0.25">
      <c r="A71" s="144">
        <f>IF(COUNTBLANK(E71)=1," ",COUNTA($E$13:E71))</f>
        <v>52</v>
      </c>
      <c r="B71" s="215"/>
      <c r="C71" s="272" t="s">
        <v>295</v>
      </c>
      <c r="D71" s="154" t="s">
        <v>78</v>
      </c>
      <c r="E71" s="234">
        <v>1</v>
      </c>
      <c r="F71" s="155"/>
      <c r="G71" s="155"/>
      <c r="H71" s="156"/>
      <c r="I71" s="156"/>
      <c r="J71" s="156"/>
      <c r="K71" s="149"/>
      <c r="L71" s="150"/>
      <c r="M71" s="149"/>
      <c r="N71" s="149"/>
      <c r="O71" s="149"/>
      <c r="P71" s="151"/>
    </row>
    <row r="72" spans="1:69" s="45" customFormat="1" x14ac:dyDescent="0.25">
      <c r="A72" s="144">
        <f>IF(COUNTBLANK(E72)=1," ",COUNTA($E$13:E72))</f>
        <v>53</v>
      </c>
      <c r="B72" s="215"/>
      <c r="C72" s="162" t="s">
        <v>288</v>
      </c>
      <c r="D72" s="263" t="s">
        <v>29</v>
      </c>
      <c r="E72" s="234">
        <v>24</v>
      </c>
      <c r="F72" s="155"/>
      <c r="G72" s="155"/>
      <c r="H72" s="156"/>
      <c r="I72" s="156"/>
      <c r="J72" s="156"/>
      <c r="K72" s="149"/>
      <c r="L72" s="150"/>
      <c r="M72" s="149"/>
      <c r="N72" s="149"/>
      <c r="O72" s="149"/>
      <c r="P72" s="151"/>
    </row>
    <row r="73" spans="1:69" s="45" customFormat="1" x14ac:dyDescent="0.25">
      <c r="A73" s="144">
        <f>IF(COUNTBLANK(E73)=1," ",COUNTA($E$13:E73))</f>
        <v>54</v>
      </c>
      <c r="B73" s="215"/>
      <c r="C73" s="272" t="s">
        <v>289</v>
      </c>
      <c r="D73" s="158" t="s">
        <v>29</v>
      </c>
      <c r="E73" s="233">
        <f>E72</f>
        <v>24</v>
      </c>
      <c r="F73" s="155"/>
      <c r="G73" s="155"/>
      <c r="H73" s="156"/>
      <c r="I73" s="156"/>
      <c r="J73" s="156"/>
      <c r="K73" s="149"/>
      <c r="L73" s="150"/>
      <c r="M73" s="149"/>
      <c r="N73" s="149"/>
      <c r="O73" s="149"/>
      <c r="P73" s="151"/>
    </row>
    <row r="74" spans="1:69" s="45" customFormat="1" ht="39.6" x14ac:dyDescent="0.25">
      <c r="A74" s="144">
        <f>IF(COUNTBLANK(E74)=1," ",COUNTA($E$13:E74))</f>
        <v>55</v>
      </c>
      <c r="B74" s="215"/>
      <c r="C74" s="272" t="s">
        <v>290</v>
      </c>
      <c r="D74" s="158" t="s">
        <v>29</v>
      </c>
      <c r="E74" s="233">
        <f>E72</f>
        <v>24</v>
      </c>
      <c r="F74" s="155"/>
      <c r="G74" s="155"/>
      <c r="H74" s="156"/>
      <c r="I74" s="156"/>
      <c r="J74" s="156"/>
      <c r="K74" s="149"/>
      <c r="L74" s="150"/>
      <c r="M74" s="149"/>
      <c r="N74" s="149"/>
      <c r="O74" s="149"/>
      <c r="P74" s="151"/>
    </row>
    <row r="75" spans="1:69" s="45" customFormat="1" ht="26.4" x14ac:dyDescent="0.25">
      <c r="A75" s="144">
        <f>IF(COUNTBLANK(E75)=1," ",COUNTA($E$13:E75))</f>
        <v>56</v>
      </c>
      <c r="B75" s="215"/>
      <c r="C75" s="162" t="s">
        <v>299</v>
      </c>
      <c r="D75" s="221" t="s">
        <v>95</v>
      </c>
      <c r="E75" s="234">
        <v>2.88</v>
      </c>
      <c r="F75" s="155"/>
      <c r="G75" s="155"/>
      <c r="H75" s="156"/>
      <c r="I75" s="156"/>
      <c r="J75" s="156"/>
      <c r="K75" s="149"/>
      <c r="L75" s="150"/>
      <c r="M75" s="149"/>
      <c r="N75" s="149"/>
      <c r="O75" s="149"/>
      <c r="P75" s="151"/>
    </row>
    <row r="76" spans="1:69" s="267" customFormat="1" ht="13.2" x14ac:dyDescent="0.2">
      <c r="A76" s="144">
        <f>IF(COUNTBLANK(E76)=1," ",COUNTA($E$13:E76))</f>
        <v>57</v>
      </c>
      <c r="B76" s="280"/>
      <c r="C76" s="272" t="s">
        <v>296</v>
      </c>
      <c r="D76" s="158" t="s">
        <v>95</v>
      </c>
      <c r="E76" s="233">
        <f>ROUND(E75*1.1,2)</f>
        <v>3.17</v>
      </c>
      <c r="F76" s="155"/>
      <c r="G76" s="155"/>
      <c r="H76" s="156"/>
      <c r="I76" s="156"/>
      <c r="J76" s="156"/>
      <c r="K76" s="149"/>
      <c r="L76" s="150"/>
      <c r="M76" s="149"/>
      <c r="N76" s="149"/>
      <c r="O76" s="149"/>
      <c r="P76" s="151"/>
      <c r="Q76" s="264"/>
      <c r="R76" s="264"/>
      <c r="S76" s="264"/>
      <c r="T76" s="265"/>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266"/>
      <c r="BK76" s="266"/>
      <c r="BL76" s="266"/>
      <c r="BM76" s="266"/>
      <c r="BN76" s="266"/>
    </row>
    <row r="77" spans="1:69" s="267" customFormat="1" ht="13.2" x14ac:dyDescent="0.2">
      <c r="A77" s="144">
        <f>IF(COUNTBLANK(E77)=1," ",COUNTA($E$13:E77))</f>
        <v>58</v>
      </c>
      <c r="B77" s="280"/>
      <c r="C77" s="272" t="s">
        <v>291</v>
      </c>
      <c r="D77" s="158" t="s">
        <v>292</v>
      </c>
      <c r="E77" s="233">
        <f>ROUND(E76/8*1,2)</f>
        <v>0.4</v>
      </c>
      <c r="F77" s="155"/>
      <c r="G77" s="155"/>
      <c r="H77" s="156"/>
      <c r="I77" s="156"/>
      <c r="J77" s="156"/>
      <c r="K77" s="149"/>
      <c r="L77" s="150"/>
      <c r="M77" s="149"/>
      <c r="N77" s="149"/>
      <c r="O77" s="149"/>
      <c r="P77" s="151"/>
      <c r="Q77" s="264"/>
      <c r="R77" s="264"/>
      <c r="S77" s="264"/>
      <c r="T77" s="265"/>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M77" s="266"/>
      <c r="BN77" s="266"/>
    </row>
    <row r="78" spans="1:69" s="267" customFormat="1" ht="13.2" x14ac:dyDescent="0.2">
      <c r="A78" s="144">
        <f>IF(COUNTBLANK(E78)=1," ",COUNTA($E$13:E78))</f>
        <v>59</v>
      </c>
      <c r="B78" s="280"/>
      <c r="C78" s="272" t="s">
        <v>293</v>
      </c>
      <c r="D78" s="158" t="s">
        <v>292</v>
      </c>
      <c r="E78" s="233">
        <f>ROUND(E76/8*2,2)</f>
        <v>0.79</v>
      </c>
      <c r="F78" s="155"/>
      <c r="G78" s="155"/>
      <c r="H78" s="156"/>
      <c r="I78" s="156"/>
      <c r="J78" s="156"/>
      <c r="K78" s="149"/>
      <c r="L78" s="150"/>
      <c r="M78" s="149"/>
      <c r="N78" s="149"/>
      <c r="O78" s="149"/>
      <c r="P78" s="151"/>
      <c r="Q78" s="264"/>
      <c r="R78" s="264"/>
      <c r="S78" s="264"/>
      <c r="T78" s="265"/>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66"/>
      <c r="AX78" s="266"/>
      <c r="AY78" s="266"/>
      <c r="AZ78" s="266"/>
      <c r="BA78" s="266"/>
      <c r="BB78" s="266"/>
      <c r="BC78" s="266"/>
      <c r="BD78" s="266"/>
      <c r="BE78" s="266"/>
      <c r="BF78" s="266"/>
      <c r="BG78" s="266"/>
      <c r="BH78" s="266"/>
      <c r="BI78" s="266"/>
      <c r="BJ78" s="266"/>
      <c r="BK78" s="266"/>
      <c r="BL78" s="266"/>
      <c r="BM78" s="266"/>
      <c r="BN78" s="266"/>
    </row>
    <row r="79" spans="1:69" s="267" customFormat="1" ht="13.2" x14ac:dyDescent="0.2">
      <c r="A79" s="144">
        <f>IF(COUNTBLANK(E79)=1," ",COUNTA($E$13:E79))</f>
        <v>60</v>
      </c>
      <c r="B79" s="280"/>
      <c r="C79" s="272" t="s">
        <v>273</v>
      </c>
      <c r="D79" s="154" t="s">
        <v>78</v>
      </c>
      <c r="E79" s="233">
        <v>1</v>
      </c>
      <c r="F79" s="155"/>
      <c r="G79" s="155"/>
      <c r="H79" s="156"/>
      <c r="I79" s="156"/>
      <c r="J79" s="156"/>
      <c r="K79" s="149"/>
      <c r="L79" s="150"/>
      <c r="M79" s="149"/>
      <c r="N79" s="149"/>
      <c r="O79" s="149"/>
      <c r="P79" s="151"/>
      <c r="Q79" s="264"/>
      <c r="R79" s="264"/>
      <c r="S79" s="264"/>
      <c r="T79" s="268"/>
      <c r="U79" s="268"/>
      <c r="V79" s="268"/>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266"/>
      <c r="BD79" s="266"/>
      <c r="BE79" s="266"/>
      <c r="BF79" s="266"/>
      <c r="BG79" s="266"/>
      <c r="BH79" s="266"/>
      <c r="BI79" s="266"/>
      <c r="BJ79" s="266"/>
      <c r="BK79" s="266"/>
      <c r="BL79" s="266"/>
      <c r="BM79" s="266"/>
      <c r="BN79" s="266"/>
      <c r="BO79" s="266"/>
      <c r="BP79" s="266"/>
      <c r="BQ79" s="266"/>
    </row>
    <row r="80" spans="1:69" s="45" customFormat="1" x14ac:dyDescent="0.25">
      <c r="A80" s="144">
        <f>IF(COUNTBLANK(E80)=1," ",COUNTA($E$13:E80))</f>
        <v>61</v>
      </c>
      <c r="B80" s="211"/>
      <c r="C80" s="162" t="s">
        <v>116</v>
      </c>
      <c r="D80" s="14" t="s">
        <v>100</v>
      </c>
      <c r="E80" s="235">
        <f>4*8</f>
        <v>32</v>
      </c>
      <c r="F80" s="155"/>
      <c r="G80" s="155"/>
      <c r="H80" s="156"/>
      <c r="I80" s="156"/>
      <c r="J80" s="156"/>
      <c r="K80" s="149"/>
      <c r="L80" s="150"/>
      <c r="M80" s="149"/>
      <c r="N80" s="149"/>
      <c r="O80" s="149"/>
      <c r="P80" s="151"/>
    </row>
    <row r="81" spans="1:69" s="45" customFormat="1" x14ac:dyDescent="0.25">
      <c r="A81" s="144">
        <f>IF(COUNTBLANK(E81)=1," ",COUNTA($E$13:E81))</f>
        <v>62</v>
      </c>
      <c r="B81" s="211"/>
      <c r="C81" s="270" t="s">
        <v>273</v>
      </c>
      <c r="D81" s="263" t="s">
        <v>78</v>
      </c>
      <c r="E81" s="271">
        <v>1</v>
      </c>
      <c r="F81" s="155"/>
      <c r="G81" s="155"/>
      <c r="H81" s="156"/>
      <c r="I81" s="156"/>
      <c r="J81" s="156"/>
      <c r="K81" s="149"/>
      <c r="L81" s="150"/>
      <c r="M81" s="149"/>
      <c r="N81" s="149"/>
      <c r="O81" s="149"/>
      <c r="P81" s="151"/>
    </row>
    <row r="82" spans="1:69" ht="15.6" x14ac:dyDescent="0.25">
      <c r="A82" s="144" t="str">
        <f>IF(COUNTBLANK(E82)=1," ",COUNTA($E$13:E82))</f>
        <v xml:space="preserve"> </v>
      </c>
      <c r="B82" s="211"/>
      <c r="C82" s="217" t="s">
        <v>121</v>
      </c>
      <c r="D82" s="14"/>
      <c r="E82" s="14"/>
      <c r="F82" s="212"/>
      <c r="G82" s="213"/>
      <c r="H82" s="156"/>
      <c r="I82" s="213"/>
      <c r="J82" s="213"/>
      <c r="K82" s="213"/>
      <c r="L82" s="212"/>
      <c r="M82" s="213"/>
      <c r="N82" s="213"/>
      <c r="O82" s="213"/>
      <c r="P82" s="214"/>
    </row>
    <row r="83" spans="1:69" s="45" customFormat="1" ht="39.6" x14ac:dyDescent="0.25">
      <c r="A83" s="144">
        <f>IF(COUNTBLANK(E83)=1," ",COUNTA($E$13:E83))</f>
        <v>63</v>
      </c>
      <c r="B83" s="215"/>
      <c r="C83" s="216" t="s">
        <v>113</v>
      </c>
      <c r="D83" s="158" t="s">
        <v>95</v>
      </c>
      <c r="E83" s="233">
        <f>20.48*1.1*0.2</f>
        <v>4.5056000000000003</v>
      </c>
      <c r="F83" s="155"/>
      <c r="G83" s="155"/>
      <c r="H83" s="156"/>
      <c r="I83" s="156"/>
      <c r="J83" s="156"/>
      <c r="K83" s="218"/>
      <c r="L83" s="155"/>
      <c r="M83" s="218"/>
      <c r="N83" s="218"/>
      <c r="O83" s="218"/>
      <c r="P83" s="219"/>
    </row>
    <row r="84" spans="1:69" s="45" customFormat="1" ht="39.6" x14ac:dyDescent="0.25">
      <c r="A84" s="144">
        <f>IF(COUNTBLANK(E84)=1," ",COUNTA($E$13:E84))</f>
        <v>64</v>
      </c>
      <c r="B84" s="220"/>
      <c r="C84" s="162" t="s">
        <v>114</v>
      </c>
      <c r="D84" s="158" t="s">
        <v>115</v>
      </c>
      <c r="E84" s="234">
        <f>0.0359*8</f>
        <v>0.28720000000000001</v>
      </c>
      <c r="F84" s="155"/>
      <c r="G84" s="155"/>
      <c r="H84" s="156"/>
      <c r="I84" s="156"/>
      <c r="J84" s="156"/>
      <c r="K84" s="149"/>
      <c r="L84" s="150"/>
      <c r="M84" s="149"/>
      <c r="N84" s="149"/>
      <c r="O84" s="149"/>
      <c r="P84" s="151"/>
    </row>
    <row r="85" spans="1:69" s="45" customFormat="1" ht="26.4" x14ac:dyDescent="0.25">
      <c r="A85" s="144">
        <f>IF(COUNTBLANK(E85)=1," ",COUNTA($E$13:E85))</f>
        <v>65</v>
      </c>
      <c r="B85" s="215"/>
      <c r="C85" s="272" t="s">
        <v>294</v>
      </c>
      <c r="D85" s="158" t="s">
        <v>115</v>
      </c>
      <c r="E85" s="234">
        <f>E84*1.15</f>
        <v>0.33027999999999996</v>
      </c>
      <c r="F85" s="155"/>
      <c r="G85" s="155"/>
      <c r="H85" s="156"/>
      <c r="I85" s="156"/>
      <c r="J85" s="156"/>
      <c r="K85" s="149"/>
      <c r="L85" s="150"/>
      <c r="M85" s="149"/>
      <c r="N85" s="149"/>
      <c r="O85" s="149"/>
      <c r="P85" s="151"/>
    </row>
    <row r="86" spans="1:69" s="45" customFormat="1" ht="26.4" x14ac:dyDescent="0.25">
      <c r="A86" s="144">
        <f>IF(COUNTBLANK(E86)=1," ",COUNTA($E$13:E86))</f>
        <v>66</v>
      </c>
      <c r="B86" s="215"/>
      <c r="C86" s="272" t="s">
        <v>295</v>
      </c>
      <c r="D86" s="154" t="s">
        <v>78</v>
      </c>
      <c r="E86" s="234">
        <v>1</v>
      </c>
      <c r="F86" s="155"/>
      <c r="G86" s="155"/>
      <c r="H86" s="156"/>
      <c r="I86" s="156"/>
      <c r="J86" s="156"/>
      <c r="K86" s="149"/>
      <c r="L86" s="150"/>
      <c r="M86" s="149"/>
      <c r="N86" s="149"/>
      <c r="O86" s="149"/>
      <c r="P86" s="151"/>
    </row>
    <row r="87" spans="1:69" s="45" customFormat="1" x14ac:dyDescent="0.25">
      <c r="A87" s="144">
        <f>IF(COUNTBLANK(E87)=1," ",COUNTA($E$13:E87))</f>
        <v>67</v>
      </c>
      <c r="B87" s="215"/>
      <c r="C87" s="162" t="s">
        <v>288</v>
      </c>
      <c r="D87" s="263" t="s">
        <v>29</v>
      </c>
      <c r="E87" s="234">
        <v>55</v>
      </c>
      <c r="F87" s="155"/>
      <c r="G87" s="155"/>
      <c r="H87" s="156"/>
      <c r="I87" s="156"/>
      <c r="J87" s="156"/>
      <c r="K87" s="149"/>
      <c r="L87" s="150"/>
      <c r="M87" s="149"/>
      <c r="N87" s="149"/>
      <c r="O87" s="149"/>
      <c r="P87" s="151"/>
    </row>
    <row r="88" spans="1:69" s="45" customFormat="1" x14ac:dyDescent="0.25">
      <c r="A88" s="144">
        <f>IF(COUNTBLANK(E88)=1," ",COUNTA($E$13:E88))</f>
        <v>68</v>
      </c>
      <c r="B88" s="215"/>
      <c r="C88" s="272" t="s">
        <v>289</v>
      </c>
      <c r="D88" s="158" t="s">
        <v>29</v>
      </c>
      <c r="E88" s="233">
        <f>E87</f>
        <v>55</v>
      </c>
      <c r="F88" s="155"/>
      <c r="G88" s="155"/>
      <c r="H88" s="156"/>
      <c r="I88" s="156"/>
      <c r="J88" s="156"/>
      <c r="K88" s="149"/>
      <c r="L88" s="150"/>
      <c r="M88" s="149"/>
      <c r="N88" s="149"/>
      <c r="O88" s="149"/>
      <c r="P88" s="151"/>
    </row>
    <row r="89" spans="1:69" s="45" customFormat="1" ht="39.6" x14ac:dyDescent="0.25">
      <c r="A89" s="144">
        <f>IF(COUNTBLANK(E89)=1," ",COUNTA($E$13:E89))</f>
        <v>69</v>
      </c>
      <c r="B89" s="215"/>
      <c r="C89" s="272" t="s">
        <v>290</v>
      </c>
      <c r="D89" s="158" t="s">
        <v>29</v>
      </c>
      <c r="E89" s="233">
        <f>E87</f>
        <v>55</v>
      </c>
      <c r="F89" s="155"/>
      <c r="G89" s="155"/>
      <c r="H89" s="156"/>
      <c r="I89" s="156"/>
      <c r="J89" s="156"/>
      <c r="K89" s="149"/>
      <c r="L89" s="150"/>
      <c r="M89" s="149"/>
      <c r="N89" s="149"/>
      <c r="O89" s="149"/>
      <c r="P89" s="151"/>
    </row>
    <row r="90" spans="1:69" s="45" customFormat="1" ht="26.4" x14ac:dyDescent="0.25">
      <c r="A90" s="144">
        <f>IF(COUNTBLANK(E90)=1," ",COUNTA($E$13:E90))</f>
        <v>70</v>
      </c>
      <c r="B90" s="215"/>
      <c r="C90" s="162" t="s">
        <v>299</v>
      </c>
      <c r="D90" s="221" t="s">
        <v>95</v>
      </c>
      <c r="E90" s="234">
        <v>6.96</v>
      </c>
      <c r="F90" s="155"/>
      <c r="G90" s="155"/>
      <c r="H90" s="156"/>
      <c r="I90" s="156"/>
      <c r="J90" s="156"/>
      <c r="K90" s="149"/>
      <c r="L90" s="150"/>
      <c r="M90" s="149"/>
      <c r="N90" s="149"/>
      <c r="O90" s="149"/>
      <c r="P90" s="151"/>
    </row>
    <row r="91" spans="1:69" s="267" customFormat="1" ht="13.2" x14ac:dyDescent="0.2">
      <c r="A91" s="144">
        <f>IF(COUNTBLANK(E91)=1," ",COUNTA($E$13:E91))</f>
        <v>71</v>
      </c>
      <c r="B91" s="280"/>
      <c r="C91" s="272" t="s">
        <v>296</v>
      </c>
      <c r="D91" s="158" t="s">
        <v>95</v>
      </c>
      <c r="E91" s="233">
        <f>ROUND(E90*1.1,2)</f>
        <v>7.66</v>
      </c>
      <c r="F91" s="155"/>
      <c r="G91" s="155"/>
      <c r="H91" s="156"/>
      <c r="I91" s="156"/>
      <c r="J91" s="156"/>
      <c r="K91" s="149"/>
      <c r="L91" s="150"/>
      <c r="M91" s="149"/>
      <c r="N91" s="149"/>
      <c r="O91" s="149"/>
      <c r="P91" s="151"/>
      <c r="Q91" s="264"/>
      <c r="R91" s="264"/>
      <c r="S91" s="264"/>
      <c r="T91" s="265"/>
      <c r="U91" s="266"/>
      <c r="V91" s="266"/>
      <c r="W91" s="266"/>
      <c r="X91" s="266"/>
      <c r="Y91" s="266"/>
      <c r="Z91" s="266"/>
      <c r="AA91" s="266"/>
      <c r="AB91" s="266"/>
      <c r="AC91" s="266"/>
      <c r="AD91" s="266"/>
      <c r="AE91" s="266"/>
      <c r="AF91" s="266"/>
      <c r="AG91" s="266"/>
      <c r="AH91" s="266"/>
      <c r="AI91" s="266"/>
      <c r="AJ91" s="266"/>
      <c r="AK91" s="266"/>
      <c r="AL91" s="266"/>
      <c r="AM91" s="266"/>
      <c r="AN91" s="266"/>
      <c r="AO91" s="266"/>
      <c r="AP91" s="266"/>
      <c r="AQ91" s="266"/>
      <c r="AR91" s="266"/>
      <c r="AS91" s="266"/>
      <c r="AT91" s="266"/>
      <c r="AU91" s="266"/>
      <c r="AV91" s="266"/>
      <c r="AW91" s="266"/>
      <c r="AX91" s="266"/>
      <c r="AY91" s="266"/>
      <c r="AZ91" s="266"/>
      <c r="BA91" s="266"/>
      <c r="BB91" s="266"/>
      <c r="BC91" s="266"/>
      <c r="BD91" s="266"/>
      <c r="BE91" s="266"/>
      <c r="BF91" s="266"/>
      <c r="BG91" s="266"/>
      <c r="BH91" s="266"/>
      <c r="BI91" s="266"/>
      <c r="BJ91" s="266"/>
      <c r="BK91" s="266"/>
      <c r="BL91" s="266"/>
      <c r="BM91" s="266"/>
      <c r="BN91" s="266"/>
    </row>
    <row r="92" spans="1:69" s="267" customFormat="1" ht="13.2" x14ac:dyDescent="0.2">
      <c r="A92" s="144">
        <f>IF(COUNTBLANK(E92)=1," ",COUNTA($E$13:E92))</f>
        <v>72</v>
      </c>
      <c r="B92" s="280"/>
      <c r="C92" s="272" t="s">
        <v>291</v>
      </c>
      <c r="D92" s="158" t="s">
        <v>292</v>
      </c>
      <c r="E92" s="233">
        <f>ROUND(E91/8*1,2)</f>
        <v>0.96</v>
      </c>
      <c r="F92" s="155"/>
      <c r="G92" s="155"/>
      <c r="H92" s="156"/>
      <c r="I92" s="156"/>
      <c r="J92" s="156"/>
      <c r="K92" s="149"/>
      <c r="L92" s="150"/>
      <c r="M92" s="149"/>
      <c r="N92" s="149"/>
      <c r="O92" s="149"/>
      <c r="P92" s="151"/>
      <c r="Q92" s="264"/>
      <c r="R92" s="264"/>
      <c r="S92" s="264"/>
      <c r="T92" s="265"/>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6"/>
      <c r="AR92" s="266"/>
      <c r="AS92" s="266"/>
      <c r="AT92" s="266"/>
      <c r="AU92" s="266"/>
      <c r="AV92" s="266"/>
      <c r="AW92" s="266"/>
      <c r="AX92" s="266"/>
      <c r="AY92" s="266"/>
      <c r="AZ92" s="266"/>
      <c r="BA92" s="266"/>
      <c r="BB92" s="266"/>
      <c r="BC92" s="266"/>
      <c r="BD92" s="266"/>
      <c r="BE92" s="266"/>
      <c r="BF92" s="266"/>
      <c r="BG92" s="266"/>
      <c r="BH92" s="266"/>
      <c r="BI92" s="266"/>
      <c r="BJ92" s="266"/>
      <c r="BK92" s="266"/>
      <c r="BL92" s="266"/>
      <c r="BM92" s="266"/>
      <c r="BN92" s="266"/>
    </row>
    <row r="93" spans="1:69" s="267" customFormat="1" ht="13.2" x14ac:dyDescent="0.2">
      <c r="A93" s="144">
        <f>IF(COUNTBLANK(E93)=1," ",COUNTA($E$13:E93))</f>
        <v>73</v>
      </c>
      <c r="B93" s="280"/>
      <c r="C93" s="272" t="s">
        <v>293</v>
      </c>
      <c r="D93" s="158" t="s">
        <v>292</v>
      </c>
      <c r="E93" s="233">
        <f>ROUND(E91/8*2,2)</f>
        <v>1.92</v>
      </c>
      <c r="F93" s="155"/>
      <c r="G93" s="155"/>
      <c r="H93" s="156"/>
      <c r="I93" s="156"/>
      <c r="J93" s="156"/>
      <c r="K93" s="149"/>
      <c r="L93" s="150"/>
      <c r="M93" s="149"/>
      <c r="N93" s="149"/>
      <c r="O93" s="149"/>
      <c r="P93" s="151"/>
      <c r="Q93" s="264"/>
      <c r="R93" s="264"/>
      <c r="S93" s="264"/>
      <c r="T93" s="265"/>
      <c r="U93" s="266"/>
      <c r="V93" s="266"/>
      <c r="W93" s="266"/>
      <c r="X93" s="266"/>
      <c r="Y93" s="266"/>
      <c r="Z93" s="266"/>
      <c r="AA93" s="266"/>
      <c r="AB93" s="266"/>
      <c r="AC93" s="266"/>
      <c r="AD93" s="266"/>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66"/>
      <c r="BD93" s="266"/>
      <c r="BE93" s="266"/>
      <c r="BF93" s="266"/>
      <c r="BG93" s="266"/>
      <c r="BH93" s="266"/>
      <c r="BI93" s="266"/>
      <c r="BJ93" s="266"/>
      <c r="BK93" s="266"/>
      <c r="BL93" s="266"/>
      <c r="BM93" s="266"/>
      <c r="BN93" s="266"/>
    </row>
    <row r="94" spans="1:69" s="267" customFormat="1" ht="13.2" x14ac:dyDescent="0.2">
      <c r="A94" s="144">
        <f>IF(COUNTBLANK(E94)=1," ",COUNTA($E$13:E94))</f>
        <v>74</v>
      </c>
      <c r="B94" s="280"/>
      <c r="C94" s="272" t="s">
        <v>273</v>
      </c>
      <c r="D94" s="154" t="s">
        <v>78</v>
      </c>
      <c r="E94" s="233">
        <v>1</v>
      </c>
      <c r="F94" s="155"/>
      <c r="G94" s="155"/>
      <c r="H94" s="156"/>
      <c r="I94" s="156"/>
      <c r="J94" s="156"/>
      <c r="K94" s="149"/>
      <c r="L94" s="150"/>
      <c r="M94" s="149"/>
      <c r="N94" s="149"/>
      <c r="O94" s="149"/>
      <c r="P94" s="151"/>
      <c r="Q94" s="264"/>
      <c r="R94" s="264"/>
      <c r="S94" s="264"/>
      <c r="T94" s="268"/>
      <c r="U94" s="268"/>
      <c r="V94" s="268"/>
      <c r="W94" s="266"/>
      <c r="X94" s="266"/>
      <c r="Y94" s="266"/>
      <c r="Z94" s="266"/>
      <c r="AA94" s="266"/>
      <c r="AB94" s="266"/>
      <c r="AC94" s="266"/>
      <c r="AD94" s="266"/>
      <c r="AE94" s="266"/>
      <c r="AF94" s="266"/>
      <c r="AG94" s="266"/>
      <c r="AH94" s="266"/>
      <c r="AI94" s="266"/>
      <c r="AJ94" s="266"/>
      <c r="AK94" s="266"/>
      <c r="AL94" s="266"/>
      <c r="AM94" s="266"/>
      <c r="AN94" s="266"/>
      <c r="AO94" s="266"/>
      <c r="AP94" s="266"/>
      <c r="AQ94" s="266"/>
      <c r="AR94" s="266"/>
      <c r="AS94" s="266"/>
      <c r="AT94" s="266"/>
      <c r="AU94" s="266"/>
      <c r="AV94" s="266"/>
      <c r="AW94" s="266"/>
      <c r="AX94" s="266"/>
      <c r="AY94" s="266"/>
      <c r="AZ94" s="266"/>
      <c r="BA94" s="266"/>
      <c r="BB94" s="266"/>
      <c r="BC94" s="266"/>
      <c r="BD94" s="266"/>
      <c r="BE94" s="266"/>
      <c r="BF94" s="266"/>
      <c r="BG94" s="266"/>
      <c r="BH94" s="266"/>
      <c r="BI94" s="266"/>
      <c r="BJ94" s="266"/>
      <c r="BK94" s="266"/>
      <c r="BL94" s="266"/>
      <c r="BM94" s="266"/>
      <c r="BN94" s="266"/>
      <c r="BO94" s="266"/>
      <c r="BP94" s="266"/>
      <c r="BQ94" s="266"/>
    </row>
    <row r="95" spans="1:69" s="45" customFormat="1" x14ac:dyDescent="0.25">
      <c r="A95" s="144">
        <f>IF(COUNTBLANK(E95)=1," ",COUNTA($E$13:E95))</f>
        <v>75</v>
      </c>
      <c r="B95" s="211"/>
      <c r="C95" s="162" t="s">
        <v>119</v>
      </c>
      <c r="D95" s="14" t="s">
        <v>100</v>
      </c>
      <c r="E95" s="235">
        <f>4*8</f>
        <v>32</v>
      </c>
      <c r="F95" s="155"/>
      <c r="G95" s="155"/>
      <c r="H95" s="156"/>
      <c r="I95" s="156"/>
      <c r="J95" s="156"/>
      <c r="K95" s="149"/>
      <c r="L95" s="150"/>
      <c r="M95" s="149"/>
      <c r="N95" s="149"/>
      <c r="O95" s="149"/>
      <c r="P95" s="151"/>
    </row>
    <row r="96" spans="1:69" s="45" customFormat="1" x14ac:dyDescent="0.25">
      <c r="A96" s="144">
        <f>IF(COUNTBLANK(E96)=1," ",COUNTA($E$13:E96))</f>
        <v>76</v>
      </c>
      <c r="B96" s="211"/>
      <c r="C96" s="270" t="s">
        <v>273</v>
      </c>
      <c r="D96" s="263" t="s">
        <v>78</v>
      </c>
      <c r="E96" s="271">
        <v>1</v>
      </c>
      <c r="F96" s="155"/>
      <c r="G96" s="155"/>
      <c r="H96" s="156"/>
      <c r="I96" s="156"/>
      <c r="J96" s="156"/>
      <c r="K96" s="149"/>
      <c r="L96" s="150"/>
      <c r="M96" s="149"/>
      <c r="N96" s="149"/>
      <c r="O96" s="149"/>
      <c r="P96" s="151"/>
    </row>
    <row r="97" spans="1:69" ht="15.6" x14ac:dyDescent="0.25">
      <c r="A97" s="144" t="str">
        <f>IF(COUNTBLANK(E97)=1," ",COUNTA($E$13:E97))</f>
        <v xml:space="preserve"> </v>
      </c>
      <c r="B97" s="211"/>
      <c r="C97" s="217" t="s">
        <v>122</v>
      </c>
      <c r="D97" s="14"/>
      <c r="E97" s="14"/>
      <c r="F97" s="212"/>
      <c r="G97" s="213"/>
      <c r="H97" s="156"/>
      <c r="I97" s="213"/>
      <c r="J97" s="213"/>
      <c r="K97" s="213"/>
      <c r="L97" s="212"/>
      <c r="M97" s="213"/>
      <c r="N97" s="213"/>
      <c r="O97" s="213"/>
      <c r="P97" s="214"/>
    </row>
    <row r="98" spans="1:69" s="45" customFormat="1" ht="39.6" x14ac:dyDescent="0.25">
      <c r="A98" s="144">
        <f>IF(COUNTBLANK(E98)=1," ",COUNTA($E$13:E98))</f>
        <v>77</v>
      </c>
      <c r="B98" s="215"/>
      <c r="C98" s="216" t="s">
        <v>113</v>
      </c>
      <c r="D98" s="158" t="s">
        <v>95</v>
      </c>
      <c r="E98" s="233">
        <f>23.04*1.1*0.2</f>
        <v>5.0688000000000004</v>
      </c>
      <c r="F98" s="155"/>
      <c r="G98" s="155"/>
      <c r="H98" s="156"/>
      <c r="I98" s="156"/>
      <c r="J98" s="156"/>
      <c r="K98" s="218"/>
      <c r="L98" s="155"/>
      <c r="M98" s="218"/>
      <c r="N98" s="218"/>
      <c r="O98" s="218"/>
      <c r="P98" s="219"/>
    </row>
    <row r="99" spans="1:69" s="45" customFormat="1" ht="39.6" x14ac:dyDescent="0.25">
      <c r="A99" s="144">
        <f>IF(COUNTBLANK(E99)=1," ",COUNTA($E$13:E99))</f>
        <v>78</v>
      </c>
      <c r="B99" s="220"/>
      <c r="C99" s="162" t="s">
        <v>114</v>
      </c>
      <c r="D99" s="158" t="s">
        <v>115</v>
      </c>
      <c r="E99" s="234">
        <f>0.0415*8</f>
        <v>0.33200000000000002</v>
      </c>
      <c r="F99" s="155"/>
      <c r="G99" s="155"/>
      <c r="H99" s="156"/>
      <c r="I99" s="156"/>
      <c r="J99" s="156"/>
      <c r="K99" s="149"/>
      <c r="L99" s="150"/>
      <c r="M99" s="149"/>
      <c r="N99" s="149"/>
      <c r="O99" s="149"/>
      <c r="P99" s="151"/>
    </row>
    <row r="100" spans="1:69" s="45" customFormat="1" ht="26.4" x14ac:dyDescent="0.25">
      <c r="A100" s="144">
        <f>IF(COUNTBLANK(E100)=1," ",COUNTA($E$13:E100))</f>
        <v>79</v>
      </c>
      <c r="B100" s="215"/>
      <c r="C100" s="272" t="s">
        <v>294</v>
      </c>
      <c r="D100" s="158" t="s">
        <v>115</v>
      </c>
      <c r="E100" s="234">
        <f>E99*1.15</f>
        <v>0.38179999999999997</v>
      </c>
      <c r="F100" s="155"/>
      <c r="G100" s="155"/>
      <c r="H100" s="156"/>
      <c r="I100" s="156"/>
      <c r="J100" s="156"/>
      <c r="K100" s="149"/>
      <c r="L100" s="150"/>
      <c r="M100" s="149"/>
      <c r="N100" s="149"/>
      <c r="O100" s="149"/>
      <c r="P100" s="151"/>
    </row>
    <row r="101" spans="1:69" s="45" customFormat="1" ht="26.4" x14ac:dyDescent="0.25">
      <c r="A101" s="144">
        <f>IF(COUNTBLANK(E101)=1," ",COUNTA($E$13:E101))</f>
        <v>80</v>
      </c>
      <c r="B101" s="215"/>
      <c r="C101" s="272" t="s">
        <v>295</v>
      </c>
      <c r="D101" s="154" t="s">
        <v>78</v>
      </c>
      <c r="E101" s="234">
        <v>1</v>
      </c>
      <c r="F101" s="155"/>
      <c r="G101" s="155"/>
      <c r="H101" s="156"/>
      <c r="I101" s="156"/>
      <c r="J101" s="156"/>
      <c r="K101" s="149"/>
      <c r="L101" s="150"/>
      <c r="M101" s="149"/>
      <c r="N101" s="149"/>
      <c r="O101" s="149"/>
      <c r="P101" s="151"/>
    </row>
    <row r="102" spans="1:69" s="45" customFormat="1" x14ac:dyDescent="0.25">
      <c r="A102" s="144">
        <f>IF(COUNTBLANK(E102)=1," ",COUNTA($E$13:E102))</f>
        <v>81</v>
      </c>
      <c r="B102" s="215"/>
      <c r="C102" s="162" t="s">
        <v>288</v>
      </c>
      <c r="D102" s="263" t="s">
        <v>29</v>
      </c>
      <c r="E102" s="234">
        <v>62</v>
      </c>
      <c r="F102" s="155"/>
      <c r="G102" s="155"/>
      <c r="H102" s="156"/>
      <c r="I102" s="156"/>
      <c r="J102" s="156"/>
      <c r="K102" s="149"/>
      <c r="L102" s="150"/>
      <c r="M102" s="149"/>
      <c r="N102" s="149"/>
      <c r="O102" s="149"/>
      <c r="P102" s="151"/>
    </row>
    <row r="103" spans="1:69" s="45" customFormat="1" x14ac:dyDescent="0.25">
      <c r="A103" s="144">
        <f>IF(COUNTBLANK(E103)=1," ",COUNTA($E$13:E103))</f>
        <v>82</v>
      </c>
      <c r="B103" s="215"/>
      <c r="C103" s="272" t="s">
        <v>289</v>
      </c>
      <c r="D103" s="158" t="s">
        <v>29</v>
      </c>
      <c r="E103" s="233">
        <f>E102</f>
        <v>62</v>
      </c>
      <c r="F103" s="155"/>
      <c r="G103" s="155"/>
      <c r="H103" s="156"/>
      <c r="I103" s="156"/>
      <c r="J103" s="156"/>
      <c r="K103" s="149"/>
      <c r="L103" s="150"/>
      <c r="M103" s="149"/>
      <c r="N103" s="149"/>
      <c r="O103" s="149"/>
      <c r="P103" s="151"/>
    </row>
    <row r="104" spans="1:69" s="45" customFormat="1" ht="39.6" x14ac:dyDescent="0.25">
      <c r="A104" s="144">
        <f>IF(COUNTBLANK(E104)=1," ",COUNTA($E$13:E104))</f>
        <v>83</v>
      </c>
      <c r="B104" s="215"/>
      <c r="C104" s="272" t="s">
        <v>290</v>
      </c>
      <c r="D104" s="158" t="s">
        <v>29</v>
      </c>
      <c r="E104" s="233">
        <f>E102</f>
        <v>62</v>
      </c>
      <c r="F104" s="155"/>
      <c r="G104" s="155"/>
      <c r="H104" s="156"/>
      <c r="I104" s="156"/>
      <c r="J104" s="156"/>
      <c r="K104" s="149"/>
      <c r="L104" s="150"/>
      <c r="M104" s="149"/>
      <c r="N104" s="149"/>
      <c r="O104" s="149"/>
      <c r="P104" s="151"/>
    </row>
    <row r="105" spans="1:69" s="45" customFormat="1" ht="26.4" x14ac:dyDescent="0.25">
      <c r="A105" s="144">
        <f>IF(COUNTBLANK(E105)=1," ",COUNTA($E$13:E105))</f>
        <v>84</v>
      </c>
      <c r="B105" s="215"/>
      <c r="C105" s="162" t="s">
        <v>299</v>
      </c>
      <c r="D105" s="221" t="s">
        <v>95</v>
      </c>
      <c r="E105" s="234">
        <v>7.83</v>
      </c>
      <c r="F105" s="155"/>
      <c r="G105" s="155"/>
      <c r="H105" s="156"/>
      <c r="I105" s="156"/>
      <c r="J105" s="156"/>
      <c r="K105" s="149"/>
      <c r="L105" s="150"/>
      <c r="M105" s="149"/>
      <c r="N105" s="149"/>
      <c r="O105" s="149"/>
      <c r="P105" s="151"/>
    </row>
    <row r="106" spans="1:69" s="267" customFormat="1" ht="13.2" x14ac:dyDescent="0.2">
      <c r="A106" s="144">
        <f>IF(COUNTBLANK(E106)=1," ",COUNTA($E$13:E106))</f>
        <v>85</v>
      </c>
      <c r="B106" s="280"/>
      <c r="C106" s="272" t="s">
        <v>296</v>
      </c>
      <c r="D106" s="158" t="s">
        <v>95</v>
      </c>
      <c r="E106" s="233">
        <f>ROUND(E105*1.1,2)</f>
        <v>8.61</v>
      </c>
      <c r="F106" s="155"/>
      <c r="G106" s="155"/>
      <c r="H106" s="156"/>
      <c r="I106" s="156"/>
      <c r="J106" s="156"/>
      <c r="K106" s="149"/>
      <c r="L106" s="150"/>
      <c r="M106" s="149"/>
      <c r="N106" s="149"/>
      <c r="O106" s="149"/>
      <c r="P106" s="151"/>
      <c r="Q106" s="264"/>
      <c r="R106" s="264"/>
      <c r="S106" s="264"/>
      <c r="T106" s="265"/>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M106" s="266"/>
      <c r="BN106" s="266"/>
    </row>
    <row r="107" spans="1:69" s="267" customFormat="1" ht="13.2" x14ac:dyDescent="0.2">
      <c r="A107" s="144">
        <f>IF(COUNTBLANK(E107)=1," ",COUNTA($E$13:E107))</f>
        <v>86</v>
      </c>
      <c r="B107" s="280"/>
      <c r="C107" s="272" t="s">
        <v>291</v>
      </c>
      <c r="D107" s="158" t="s">
        <v>292</v>
      </c>
      <c r="E107" s="233">
        <f>ROUND(E106/8*1,2)</f>
        <v>1.08</v>
      </c>
      <c r="F107" s="155"/>
      <c r="G107" s="155"/>
      <c r="H107" s="156"/>
      <c r="I107" s="156"/>
      <c r="J107" s="156"/>
      <c r="K107" s="149"/>
      <c r="L107" s="150"/>
      <c r="M107" s="149"/>
      <c r="N107" s="149"/>
      <c r="O107" s="149"/>
      <c r="P107" s="151"/>
      <c r="Q107" s="264"/>
      <c r="R107" s="264"/>
      <c r="S107" s="264"/>
      <c r="T107" s="265"/>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M107" s="266"/>
      <c r="BN107" s="266"/>
    </row>
    <row r="108" spans="1:69" s="267" customFormat="1" ht="13.2" x14ac:dyDescent="0.2">
      <c r="A108" s="144">
        <f>IF(COUNTBLANK(E108)=1," ",COUNTA($E$13:E108))</f>
        <v>87</v>
      </c>
      <c r="B108" s="280"/>
      <c r="C108" s="272" t="s">
        <v>293</v>
      </c>
      <c r="D108" s="158" t="s">
        <v>292</v>
      </c>
      <c r="E108" s="233">
        <f>ROUND(E106/8*2,2)</f>
        <v>2.15</v>
      </c>
      <c r="F108" s="155"/>
      <c r="G108" s="155"/>
      <c r="H108" s="156"/>
      <c r="I108" s="156"/>
      <c r="J108" s="156"/>
      <c r="K108" s="149"/>
      <c r="L108" s="150"/>
      <c r="M108" s="149"/>
      <c r="N108" s="149"/>
      <c r="O108" s="149"/>
      <c r="P108" s="151"/>
      <c r="Q108" s="264"/>
      <c r="R108" s="264"/>
      <c r="S108" s="264"/>
      <c r="T108" s="265"/>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M108" s="266"/>
      <c r="BN108" s="266"/>
    </row>
    <row r="109" spans="1:69" s="267" customFormat="1" ht="13.2" x14ac:dyDescent="0.2">
      <c r="A109" s="144">
        <f>IF(COUNTBLANK(E109)=1," ",COUNTA($E$13:E109))</f>
        <v>88</v>
      </c>
      <c r="B109" s="280"/>
      <c r="C109" s="272" t="s">
        <v>273</v>
      </c>
      <c r="D109" s="154" t="s">
        <v>78</v>
      </c>
      <c r="E109" s="233">
        <v>1</v>
      </c>
      <c r="F109" s="155"/>
      <c r="G109" s="155"/>
      <c r="H109" s="156"/>
      <c r="I109" s="156"/>
      <c r="J109" s="156"/>
      <c r="K109" s="149"/>
      <c r="L109" s="150"/>
      <c r="M109" s="149"/>
      <c r="N109" s="149"/>
      <c r="O109" s="149"/>
      <c r="P109" s="151"/>
      <c r="Q109" s="264"/>
      <c r="R109" s="264"/>
      <c r="S109" s="264"/>
      <c r="T109" s="268"/>
      <c r="U109" s="268"/>
      <c r="V109" s="268"/>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6"/>
      <c r="AZ109" s="266"/>
      <c r="BA109" s="266"/>
      <c r="BB109" s="266"/>
      <c r="BC109" s="266"/>
      <c r="BD109" s="266"/>
      <c r="BE109" s="266"/>
      <c r="BF109" s="266"/>
      <c r="BG109" s="266"/>
      <c r="BH109" s="266"/>
      <c r="BI109" s="266"/>
      <c r="BJ109" s="266"/>
      <c r="BK109" s="266"/>
      <c r="BL109" s="266"/>
      <c r="BM109" s="266"/>
      <c r="BN109" s="266"/>
      <c r="BO109" s="266"/>
      <c r="BP109" s="266"/>
      <c r="BQ109" s="266"/>
    </row>
    <row r="110" spans="1:69" s="45" customFormat="1" x14ac:dyDescent="0.25">
      <c r="A110" s="144">
        <f>IF(COUNTBLANK(E110)=1," ",COUNTA($E$13:E110))</f>
        <v>89</v>
      </c>
      <c r="B110" s="211"/>
      <c r="C110" s="162" t="s">
        <v>119</v>
      </c>
      <c r="D110" s="14" t="s">
        <v>100</v>
      </c>
      <c r="E110" s="235">
        <f>4*8</f>
        <v>32</v>
      </c>
      <c r="F110" s="155"/>
      <c r="G110" s="155"/>
      <c r="H110" s="156"/>
      <c r="I110" s="156"/>
      <c r="J110" s="156"/>
      <c r="K110" s="149"/>
      <c r="L110" s="150"/>
      <c r="M110" s="149"/>
      <c r="N110" s="149"/>
      <c r="O110" s="149"/>
      <c r="P110" s="151"/>
    </row>
    <row r="111" spans="1:69" s="45" customFormat="1" x14ac:dyDescent="0.25">
      <c r="A111" s="144">
        <f>IF(COUNTBLANK(E111)=1," ",COUNTA($E$13:E111))</f>
        <v>90</v>
      </c>
      <c r="B111" s="211"/>
      <c r="C111" s="270" t="s">
        <v>273</v>
      </c>
      <c r="D111" s="263" t="s">
        <v>78</v>
      </c>
      <c r="E111" s="271">
        <v>1</v>
      </c>
      <c r="F111" s="155"/>
      <c r="G111" s="155"/>
      <c r="H111" s="156"/>
      <c r="I111" s="156"/>
      <c r="J111" s="156"/>
      <c r="K111" s="149"/>
      <c r="L111" s="150"/>
      <c r="M111" s="149"/>
      <c r="N111" s="149"/>
      <c r="O111" s="149"/>
      <c r="P111" s="151"/>
    </row>
    <row r="112" spans="1:69" ht="15.6" x14ac:dyDescent="0.25">
      <c r="A112" s="144" t="str">
        <f>IF(COUNTBLANK(E112)=1," ",COUNTA($E$13:E112))</f>
        <v xml:space="preserve"> </v>
      </c>
      <c r="B112" s="211"/>
      <c r="C112" s="217" t="s">
        <v>123</v>
      </c>
      <c r="D112" s="14"/>
      <c r="E112" s="14"/>
      <c r="F112" s="212"/>
      <c r="G112" s="213"/>
      <c r="H112" s="156"/>
      <c r="I112" s="213"/>
      <c r="J112" s="213"/>
      <c r="K112" s="213"/>
      <c r="L112" s="212"/>
      <c r="M112" s="213"/>
      <c r="N112" s="213"/>
      <c r="O112" s="213"/>
      <c r="P112" s="214"/>
    </row>
    <row r="113" spans="1:69" s="45" customFormat="1" ht="39.6" x14ac:dyDescent="0.25">
      <c r="A113" s="144">
        <f>IF(COUNTBLANK(E113)=1," ",COUNTA($E$13:E113))</f>
        <v>91</v>
      </c>
      <c r="B113" s="215"/>
      <c r="C113" s="216" t="s">
        <v>113</v>
      </c>
      <c r="D113" s="158" t="s">
        <v>95</v>
      </c>
      <c r="E113" s="233">
        <f>12.8*1.1*0.2</f>
        <v>2.8160000000000007</v>
      </c>
      <c r="F113" s="155"/>
      <c r="G113" s="155"/>
      <c r="H113" s="156"/>
      <c r="I113" s="156"/>
      <c r="J113" s="156"/>
      <c r="K113" s="218"/>
      <c r="L113" s="155"/>
      <c r="M113" s="218"/>
      <c r="N113" s="218"/>
      <c r="O113" s="218"/>
      <c r="P113" s="219"/>
    </row>
    <row r="114" spans="1:69" s="45" customFormat="1" ht="39.6" x14ac:dyDescent="0.25">
      <c r="A114" s="144">
        <f>IF(COUNTBLANK(E114)=1," ",COUNTA($E$13:E114))</f>
        <v>92</v>
      </c>
      <c r="B114" s="220"/>
      <c r="C114" s="162" t="s">
        <v>114</v>
      </c>
      <c r="D114" s="158" t="s">
        <v>115</v>
      </c>
      <c r="E114" s="234">
        <f>0.086*4</f>
        <v>0.34399999999999997</v>
      </c>
      <c r="F114" s="155"/>
      <c r="G114" s="155"/>
      <c r="H114" s="156"/>
      <c r="I114" s="156"/>
      <c r="J114" s="156"/>
      <c r="K114" s="149"/>
      <c r="L114" s="150"/>
      <c r="M114" s="149"/>
      <c r="N114" s="149"/>
      <c r="O114" s="149"/>
      <c r="P114" s="151"/>
    </row>
    <row r="115" spans="1:69" s="45" customFormat="1" ht="26.4" x14ac:dyDescent="0.25">
      <c r="A115" s="144">
        <f>IF(COUNTBLANK(E115)=1," ",COUNTA($E$13:E115))</f>
        <v>93</v>
      </c>
      <c r="B115" s="215"/>
      <c r="C115" s="272" t="s">
        <v>294</v>
      </c>
      <c r="D115" s="158" t="s">
        <v>115</v>
      </c>
      <c r="E115" s="234">
        <f>E114*1.15</f>
        <v>0.39559999999999995</v>
      </c>
      <c r="F115" s="155"/>
      <c r="G115" s="155"/>
      <c r="H115" s="156"/>
      <c r="I115" s="156"/>
      <c r="J115" s="156"/>
      <c r="K115" s="149"/>
      <c r="L115" s="150"/>
      <c r="M115" s="149"/>
      <c r="N115" s="149"/>
      <c r="O115" s="149"/>
      <c r="P115" s="151"/>
    </row>
    <row r="116" spans="1:69" s="45" customFormat="1" ht="26.4" x14ac:dyDescent="0.25">
      <c r="A116" s="144">
        <f>IF(COUNTBLANK(E116)=1," ",COUNTA($E$13:E116))</f>
        <v>94</v>
      </c>
      <c r="B116" s="215"/>
      <c r="C116" s="272" t="s">
        <v>295</v>
      </c>
      <c r="D116" s="154" t="s">
        <v>78</v>
      </c>
      <c r="E116" s="234">
        <v>1</v>
      </c>
      <c r="F116" s="155"/>
      <c r="G116" s="155"/>
      <c r="H116" s="156"/>
      <c r="I116" s="156"/>
      <c r="J116" s="156"/>
      <c r="K116" s="149"/>
      <c r="L116" s="150"/>
      <c r="M116" s="149"/>
      <c r="N116" s="149"/>
      <c r="O116" s="149"/>
      <c r="P116" s="151"/>
    </row>
    <row r="117" spans="1:69" s="45" customFormat="1" x14ac:dyDescent="0.25">
      <c r="A117" s="144">
        <f>IF(COUNTBLANK(E117)=1," ",COUNTA($E$13:E117))</f>
        <v>95</v>
      </c>
      <c r="B117" s="215"/>
      <c r="C117" s="162" t="s">
        <v>288</v>
      </c>
      <c r="D117" s="263" t="s">
        <v>29</v>
      </c>
      <c r="E117" s="234">
        <v>34.799999999999997</v>
      </c>
      <c r="F117" s="155"/>
      <c r="G117" s="155"/>
      <c r="H117" s="156"/>
      <c r="I117" s="156"/>
      <c r="J117" s="156"/>
      <c r="K117" s="149"/>
      <c r="L117" s="150"/>
      <c r="M117" s="149"/>
      <c r="N117" s="149"/>
      <c r="O117" s="149"/>
      <c r="P117" s="151"/>
    </row>
    <row r="118" spans="1:69" s="45" customFormat="1" x14ac:dyDescent="0.25">
      <c r="A118" s="144">
        <f>IF(COUNTBLANK(E118)=1," ",COUNTA($E$13:E118))</f>
        <v>96</v>
      </c>
      <c r="B118" s="215"/>
      <c r="C118" s="272" t="s">
        <v>289</v>
      </c>
      <c r="D118" s="158" t="s">
        <v>29</v>
      </c>
      <c r="E118" s="233">
        <f>E117</f>
        <v>34.799999999999997</v>
      </c>
      <c r="F118" s="155"/>
      <c r="G118" s="155"/>
      <c r="H118" s="156"/>
      <c r="I118" s="156"/>
      <c r="J118" s="156"/>
      <c r="K118" s="149"/>
      <c r="L118" s="150"/>
      <c r="M118" s="149"/>
      <c r="N118" s="149"/>
      <c r="O118" s="149"/>
      <c r="P118" s="151"/>
    </row>
    <row r="119" spans="1:69" s="45" customFormat="1" ht="39.6" x14ac:dyDescent="0.25">
      <c r="A119" s="144">
        <f>IF(COUNTBLANK(E119)=1," ",COUNTA($E$13:E119))</f>
        <v>97</v>
      </c>
      <c r="B119" s="215"/>
      <c r="C119" s="272" t="s">
        <v>290</v>
      </c>
      <c r="D119" s="158" t="s">
        <v>29</v>
      </c>
      <c r="E119" s="233">
        <f>E117</f>
        <v>34.799999999999997</v>
      </c>
      <c r="F119" s="155"/>
      <c r="G119" s="155"/>
      <c r="H119" s="156"/>
      <c r="I119" s="156"/>
      <c r="J119" s="156"/>
      <c r="K119" s="149"/>
      <c r="L119" s="150"/>
      <c r="M119" s="149"/>
      <c r="N119" s="149"/>
      <c r="O119" s="149"/>
      <c r="P119" s="151"/>
    </row>
    <row r="120" spans="1:69" s="45" customFormat="1" ht="26.4" x14ac:dyDescent="0.25">
      <c r="A120" s="144">
        <f>IF(COUNTBLANK(E120)=1," ",COUNTA($E$13:E120))</f>
        <v>98</v>
      </c>
      <c r="B120" s="215"/>
      <c r="C120" s="162" t="s">
        <v>299</v>
      </c>
      <c r="D120" s="221" t="s">
        <v>95</v>
      </c>
      <c r="E120" s="234">
        <v>4.3499999999999996</v>
      </c>
      <c r="F120" s="155"/>
      <c r="G120" s="155"/>
      <c r="H120" s="156"/>
      <c r="I120" s="156"/>
      <c r="J120" s="156"/>
      <c r="K120" s="149"/>
      <c r="L120" s="150"/>
      <c r="M120" s="149"/>
      <c r="N120" s="149"/>
      <c r="O120" s="149"/>
      <c r="P120" s="151"/>
    </row>
    <row r="121" spans="1:69" s="267" customFormat="1" ht="13.2" x14ac:dyDescent="0.2">
      <c r="A121" s="144">
        <f>IF(COUNTBLANK(E121)=1," ",COUNTA($E$13:E121))</f>
        <v>99</v>
      </c>
      <c r="B121" s="280"/>
      <c r="C121" s="272" t="s">
        <v>296</v>
      </c>
      <c r="D121" s="158" t="s">
        <v>95</v>
      </c>
      <c r="E121" s="233">
        <f>ROUND(E120*1.1,2)</f>
        <v>4.79</v>
      </c>
      <c r="F121" s="155"/>
      <c r="G121" s="155"/>
      <c r="H121" s="156"/>
      <c r="I121" s="156"/>
      <c r="J121" s="156"/>
      <c r="K121" s="149"/>
      <c r="L121" s="150"/>
      <c r="M121" s="149"/>
      <c r="N121" s="149"/>
      <c r="O121" s="149"/>
      <c r="P121" s="151"/>
      <c r="Q121" s="264"/>
      <c r="R121" s="264"/>
      <c r="S121" s="264"/>
      <c r="T121" s="265"/>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M121" s="266"/>
      <c r="BN121" s="266"/>
    </row>
    <row r="122" spans="1:69" s="267" customFormat="1" ht="13.2" x14ac:dyDescent="0.2">
      <c r="A122" s="144">
        <f>IF(COUNTBLANK(E122)=1," ",COUNTA($E$13:E122))</f>
        <v>100</v>
      </c>
      <c r="B122" s="280"/>
      <c r="C122" s="272" t="s">
        <v>291</v>
      </c>
      <c r="D122" s="158" t="s">
        <v>292</v>
      </c>
      <c r="E122" s="233">
        <f>ROUND(E121/8*1,2)</f>
        <v>0.6</v>
      </c>
      <c r="F122" s="155"/>
      <c r="G122" s="155"/>
      <c r="H122" s="156"/>
      <c r="I122" s="156"/>
      <c r="J122" s="156"/>
      <c r="K122" s="149"/>
      <c r="L122" s="150"/>
      <c r="M122" s="149"/>
      <c r="N122" s="149"/>
      <c r="O122" s="149"/>
      <c r="P122" s="151"/>
      <c r="Q122" s="264"/>
      <c r="R122" s="264"/>
      <c r="S122" s="264"/>
      <c r="T122" s="265"/>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M122" s="266"/>
      <c r="BN122" s="266"/>
    </row>
    <row r="123" spans="1:69" s="267" customFormat="1" ht="13.2" x14ac:dyDescent="0.2">
      <c r="A123" s="144">
        <f>IF(COUNTBLANK(E123)=1," ",COUNTA($E$13:E123))</f>
        <v>101</v>
      </c>
      <c r="B123" s="280"/>
      <c r="C123" s="272" t="s">
        <v>293</v>
      </c>
      <c r="D123" s="158" t="s">
        <v>292</v>
      </c>
      <c r="E123" s="233">
        <f>ROUND(E121/8*2,2)</f>
        <v>1.2</v>
      </c>
      <c r="F123" s="155"/>
      <c r="G123" s="155"/>
      <c r="H123" s="156"/>
      <c r="I123" s="156"/>
      <c r="J123" s="156"/>
      <c r="K123" s="149"/>
      <c r="L123" s="150"/>
      <c r="M123" s="149"/>
      <c r="N123" s="149"/>
      <c r="O123" s="149"/>
      <c r="P123" s="151"/>
      <c r="Q123" s="264"/>
      <c r="R123" s="264"/>
      <c r="S123" s="264"/>
      <c r="T123" s="265"/>
      <c r="U123" s="266"/>
      <c r="V123" s="266"/>
      <c r="W123" s="266"/>
      <c r="X123" s="266"/>
      <c r="Y123" s="266"/>
      <c r="Z123" s="266"/>
      <c r="AA123" s="266"/>
      <c r="AB123" s="266"/>
      <c r="AC123" s="266"/>
      <c r="AD123" s="266"/>
      <c r="AE123" s="266"/>
      <c r="AF123" s="266"/>
      <c r="AG123" s="266"/>
      <c r="AH123" s="266"/>
      <c r="AI123" s="266"/>
      <c r="AJ123" s="266"/>
      <c r="AK123" s="266"/>
      <c r="AL123" s="266"/>
      <c r="AM123" s="266"/>
      <c r="AN123" s="266"/>
      <c r="AO123" s="266"/>
      <c r="AP123" s="266"/>
      <c r="AQ123" s="266"/>
      <c r="AR123" s="266"/>
      <c r="AS123" s="266"/>
      <c r="AT123" s="266"/>
      <c r="AU123" s="266"/>
      <c r="AV123" s="266"/>
      <c r="AW123" s="266"/>
      <c r="AX123" s="266"/>
      <c r="AY123" s="266"/>
      <c r="AZ123" s="266"/>
      <c r="BA123" s="266"/>
      <c r="BB123" s="266"/>
      <c r="BC123" s="266"/>
      <c r="BD123" s="266"/>
      <c r="BE123" s="266"/>
      <c r="BF123" s="266"/>
      <c r="BG123" s="266"/>
      <c r="BH123" s="266"/>
      <c r="BI123" s="266"/>
      <c r="BJ123" s="266"/>
      <c r="BK123" s="266"/>
      <c r="BL123" s="266"/>
      <c r="BM123" s="266"/>
      <c r="BN123" s="266"/>
    </row>
    <row r="124" spans="1:69" s="267" customFormat="1" ht="13.2" x14ac:dyDescent="0.2">
      <c r="A124" s="144">
        <f>IF(COUNTBLANK(E124)=1," ",COUNTA($E$13:E124))</f>
        <v>102</v>
      </c>
      <c r="B124" s="280"/>
      <c r="C124" s="272" t="s">
        <v>273</v>
      </c>
      <c r="D124" s="154" t="s">
        <v>78</v>
      </c>
      <c r="E124" s="233">
        <v>1</v>
      </c>
      <c r="F124" s="155"/>
      <c r="G124" s="155"/>
      <c r="H124" s="156"/>
      <c r="I124" s="156"/>
      <c r="J124" s="156"/>
      <c r="K124" s="149"/>
      <c r="L124" s="150"/>
      <c r="M124" s="149"/>
      <c r="N124" s="149"/>
      <c r="O124" s="149"/>
      <c r="P124" s="151"/>
      <c r="Q124" s="264"/>
      <c r="R124" s="264"/>
      <c r="S124" s="264"/>
      <c r="T124" s="268"/>
      <c r="U124" s="268"/>
      <c r="V124" s="268"/>
      <c r="W124" s="266"/>
      <c r="X124" s="266"/>
      <c r="Y124" s="266"/>
      <c r="Z124" s="266"/>
      <c r="AA124" s="266"/>
      <c r="AB124" s="266"/>
      <c r="AC124" s="266"/>
      <c r="AD124" s="266"/>
      <c r="AE124" s="266"/>
      <c r="AF124" s="266"/>
      <c r="AG124" s="266"/>
      <c r="AH124" s="266"/>
      <c r="AI124" s="266"/>
      <c r="AJ124" s="266"/>
      <c r="AK124" s="266"/>
      <c r="AL124" s="266"/>
      <c r="AM124" s="266"/>
      <c r="AN124" s="266"/>
      <c r="AO124" s="266"/>
      <c r="AP124" s="266"/>
      <c r="AQ124" s="266"/>
      <c r="AR124" s="266"/>
      <c r="AS124" s="266"/>
      <c r="AT124" s="266"/>
      <c r="AU124" s="266"/>
      <c r="AV124" s="266"/>
      <c r="AW124" s="266"/>
      <c r="AX124" s="266"/>
      <c r="AY124" s="266"/>
      <c r="AZ124" s="266"/>
      <c r="BA124" s="266"/>
      <c r="BB124" s="266"/>
      <c r="BC124" s="266"/>
      <c r="BD124" s="266"/>
      <c r="BE124" s="266"/>
      <c r="BF124" s="266"/>
      <c r="BG124" s="266"/>
      <c r="BH124" s="266"/>
      <c r="BI124" s="266"/>
      <c r="BJ124" s="266"/>
      <c r="BK124" s="266"/>
      <c r="BL124" s="266"/>
      <c r="BM124" s="266"/>
      <c r="BN124" s="266"/>
      <c r="BO124" s="266"/>
      <c r="BP124" s="266"/>
      <c r="BQ124" s="266"/>
    </row>
    <row r="125" spans="1:69" s="45" customFormat="1" x14ac:dyDescent="0.25">
      <c r="A125" s="144">
        <f>IF(COUNTBLANK(E125)=1," ",COUNTA($E$13:E125))</f>
        <v>103</v>
      </c>
      <c r="B125" s="211"/>
      <c r="C125" s="162" t="s">
        <v>119</v>
      </c>
      <c r="D125" s="14" t="s">
        <v>100</v>
      </c>
      <c r="E125" s="235">
        <f>8*4</f>
        <v>32</v>
      </c>
      <c r="F125" s="155"/>
      <c r="G125" s="155"/>
      <c r="H125" s="156"/>
      <c r="I125" s="156"/>
      <c r="J125" s="156"/>
      <c r="K125" s="149"/>
      <c r="L125" s="150"/>
      <c r="M125" s="149"/>
      <c r="N125" s="149"/>
      <c r="O125" s="149"/>
      <c r="P125" s="151"/>
    </row>
    <row r="126" spans="1:69" s="45" customFormat="1" x14ac:dyDescent="0.25">
      <c r="A126" s="144">
        <f>IF(COUNTBLANK(E126)=1," ",COUNTA($E$13:E126))</f>
        <v>104</v>
      </c>
      <c r="B126" s="211"/>
      <c r="C126" s="270" t="s">
        <v>273</v>
      </c>
      <c r="D126" s="263" t="s">
        <v>78</v>
      </c>
      <c r="E126" s="271">
        <v>1</v>
      </c>
      <c r="F126" s="155"/>
      <c r="G126" s="155"/>
      <c r="H126" s="156"/>
      <c r="I126" s="156"/>
      <c r="J126" s="156"/>
      <c r="K126" s="149"/>
      <c r="L126" s="150"/>
      <c r="M126" s="149"/>
      <c r="N126" s="149"/>
      <c r="O126" s="149"/>
      <c r="P126" s="151"/>
    </row>
    <row r="127" spans="1:69" ht="15.6" x14ac:dyDescent="0.25">
      <c r="A127" s="144" t="str">
        <f>IF(COUNTBLANK(E127)=1," ",COUNTA($E$13:E127))</f>
        <v xml:space="preserve"> </v>
      </c>
      <c r="B127" s="211"/>
      <c r="C127" s="217" t="s">
        <v>124</v>
      </c>
      <c r="D127" s="14"/>
      <c r="E127" s="14"/>
      <c r="F127" s="212"/>
      <c r="G127" s="213"/>
      <c r="H127" s="156"/>
      <c r="I127" s="213"/>
      <c r="J127" s="213"/>
      <c r="K127" s="213"/>
      <c r="L127" s="212"/>
      <c r="M127" s="213"/>
      <c r="N127" s="213"/>
      <c r="O127" s="213"/>
      <c r="P127" s="214"/>
    </row>
    <row r="128" spans="1:69" s="45" customFormat="1" ht="39.6" x14ac:dyDescent="0.25">
      <c r="A128" s="144">
        <f>IF(COUNTBLANK(E128)=1," ",COUNTA($E$13:E128))</f>
        <v>105</v>
      </c>
      <c r="B128" s="215"/>
      <c r="C128" s="216" t="s">
        <v>113</v>
      </c>
      <c r="D128" s="158" t="s">
        <v>95</v>
      </c>
      <c r="E128" s="233">
        <f>(11.12+1.59)*1.1*0.2</f>
        <v>2.7962000000000002</v>
      </c>
      <c r="F128" s="155"/>
      <c r="G128" s="155"/>
      <c r="H128" s="156"/>
      <c r="I128" s="156"/>
      <c r="J128" s="156"/>
      <c r="K128" s="218"/>
      <c r="L128" s="155"/>
      <c r="M128" s="218"/>
      <c r="N128" s="218"/>
      <c r="O128" s="218"/>
      <c r="P128" s="219"/>
    </row>
    <row r="129" spans="1:69" s="45" customFormat="1" ht="39.6" x14ac:dyDescent="0.25">
      <c r="A129" s="144">
        <f>IF(COUNTBLANK(E129)=1," ",COUNTA($E$13:E129))</f>
        <v>106</v>
      </c>
      <c r="B129" s="220"/>
      <c r="C129" s="162" t="s">
        <v>114</v>
      </c>
      <c r="D129" s="158" t="s">
        <v>115</v>
      </c>
      <c r="E129" s="234">
        <f>0.128*2</f>
        <v>0.25600000000000001</v>
      </c>
      <c r="F129" s="155"/>
      <c r="G129" s="155"/>
      <c r="H129" s="156"/>
      <c r="I129" s="156"/>
      <c r="J129" s="156"/>
      <c r="K129" s="149"/>
      <c r="L129" s="150"/>
      <c r="M129" s="149"/>
      <c r="N129" s="149"/>
      <c r="O129" s="149"/>
      <c r="P129" s="151"/>
    </row>
    <row r="130" spans="1:69" s="45" customFormat="1" ht="26.4" x14ac:dyDescent="0.25">
      <c r="A130" s="144">
        <f>IF(COUNTBLANK(E130)=1," ",COUNTA($E$13:E130))</f>
        <v>107</v>
      </c>
      <c r="B130" s="215"/>
      <c r="C130" s="272" t="s">
        <v>294</v>
      </c>
      <c r="D130" s="158" t="s">
        <v>115</v>
      </c>
      <c r="E130" s="234">
        <f>E129*1.15</f>
        <v>0.2944</v>
      </c>
      <c r="F130" s="155"/>
      <c r="G130" s="155"/>
      <c r="H130" s="156"/>
      <c r="I130" s="156"/>
      <c r="J130" s="156"/>
      <c r="K130" s="149"/>
      <c r="L130" s="150"/>
      <c r="M130" s="149"/>
      <c r="N130" s="149"/>
      <c r="O130" s="149"/>
      <c r="P130" s="151"/>
    </row>
    <row r="131" spans="1:69" s="45" customFormat="1" ht="26.4" x14ac:dyDescent="0.25">
      <c r="A131" s="144">
        <f>IF(COUNTBLANK(E131)=1," ",COUNTA($E$13:E131))</f>
        <v>108</v>
      </c>
      <c r="B131" s="215"/>
      <c r="C131" s="272" t="s">
        <v>295</v>
      </c>
      <c r="D131" s="154" t="s">
        <v>78</v>
      </c>
      <c r="E131" s="234">
        <v>1</v>
      </c>
      <c r="F131" s="155"/>
      <c r="G131" s="155"/>
      <c r="H131" s="156"/>
      <c r="I131" s="156"/>
      <c r="J131" s="156"/>
      <c r="K131" s="149"/>
      <c r="L131" s="150"/>
      <c r="M131" s="149"/>
      <c r="N131" s="149"/>
      <c r="O131" s="149"/>
      <c r="P131" s="151"/>
    </row>
    <row r="132" spans="1:69" s="45" customFormat="1" x14ac:dyDescent="0.25">
      <c r="A132" s="144">
        <f>IF(COUNTBLANK(E132)=1," ",COUNTA($E$13:E132))</f>
        <v>109</v>
      </c>
      <c r="B132" s="215"/>
      <c r="C132" s="162" t="s">
        <v>288</v>
      </c>
      <c r="D132" s="263" t="s">
        <v>29</v>
      </c>
      <c r="E132" s="234">
        <v>56</v>
      </c>
      <c r="F132" s="155"/>
      <c r="G132" s="155"/>
      <c r="H132" s="156"/>
      <c r="I132" s="156"/>
      <c r="J132" s="156"/>
      <c r="K132" s="149"/>
      <c r="L132" s="150"/>
      <c r="M132" s="149"/>
      <c r="N132" s="149"/>
      <c r="O132" s="149"/>
      <c r="P132" s="151"/>
    </row>
    <row r="133" spans="1:69" s="45" customFormat="1" x14ac:dyDescent="0.25">
      <c r="A133" s="144">
        <f>IF(COUNTBLANK(E133)=1," ",COUNTA($E$13:E133))</f>
        <v>110</v>
      </c>
      <c r="B133" s="215"/>
      <c r="C133" s="272" t="s">
        <v>289</v>
      </c>
      <c r="D133" s="158" t="s">
        <v>29</v>
      </c>
      <c r="E133" s="233">
        <f>E132</f>
        <v>56</v>
      </c>
      <c r="F133" s="155"/>
      <c r="G133" s="155"/>
      <c r="H133" s="156"/>
      <c r="I133" s="156"/>
      <c r="J133" s="156"/>
      <c r="K133" s="149"/>
      <c r="L133" s="150"/>
      <c r="M133" s="149"/>
      <c r="N133" s="149"/>
      <c r="O133" s="149"/>
      <c r="P133" s="151"/>
    </row>
    <row r="134" spans="1:69" s="45" customFormat="1" ht="39.6" x14ac:dyDescent="0.25">
      <c r="A134" s="144">
        <f>IF(COUNTBLANK(E134)=1," ",COUNTA($E$13:E134))</f>
        <v>111</v>
      </c>
      <c r="B134" s="215"/>
      <c r="C134" s="272" t="s">
        <v>290</v>
      </c>
      <c r="D134" s="158" t="s">
        <v>29</v>
      </c>
      <c r="E134" s="233">
        <f>E132</f>
        <v>56</v>
      </c>
      <c r="F134" s="155"/>
      <c r="G134" s="155"/>
      <c r="H134" s="156"/>
      <c r="I134" s="156"/>
      <c r="J134" s="156"/>
      <c r="K134" s="149"/>
      <c r="L134" s="150"/>
      <c r="M134" s="149"/>
      <c r="N134" s="149"/>
      <c r="O134" s="149"/>
      <c r="P134" s="151"/>
    </row>
    <row r="135" spans="1:69" s="45" customFormat="1" ht="26.4" x14ac:dyDescent="0.25">
      <c r="A135" s="144">
        <f>IF(COUNTBLANK(E135)=1," ",COUNTA($E$13:E135))</f>
        <v>112</v>
      </c>
      <c r="B135" s="215"/>
      <c r="C135" s="162" t="s">
        <v>299</v>
      </c>
      <c r="D135" s="221" t="s">
        <v>95</v>
      </c>
      <c r="E135" s="234">
        <f>3.78+3.28</f>
        <v>7.06</v>
      </c>
      <c r="F135" s="155"/>
      <c r="G135" s="155"/>
      <c r="H135" s="156"/>
      <c r="I135" s="156"/>
      <c r="J135" s="156"/>
      <c r="K135" s="149"/>
      <c r="L135" s="150"/>
      <c r="M135" s="149"/>
      <c r="N135" s="149"/>
      <c r="O135" s="149"/>
      <c r="P135" s="151"/>
    </row>
    <row r="136" spans="1:69" s="267" customFormat="1" ht="13.2" x14ac:dyDescent="0.2">
      <c r="A136" s="144">
        <f>IF(COUNTBLANK(E136)=1," ",COUNTA($E$13:E136))</f>
        <v>113</v>
      </c>
      <c r="B136" s="280"/>
      <c r="C136" s="272" t="s">
        <v>296</v>
      </c>
      <c r="D136" s="158" t="s">
        <v>95</v>
      </c>
      <c r="E136" s="233">
        <f>ROUND(E135*1.1,2)</f>
        <v>7.77</v>
      </c>
      <c r="F136" s="155"/>
      <c r="G136" s="155"/>
      <c r="H136" s="156"/>
      <c r="I136" s="156"/>
      <c r="J136" s="156"/>
      <c r="K136" s="149"/>
      <c r="L136" s="150"/>
      <c r="M136" s="149"/>
      <c r="N136" s="149"/>
      <c r="O136" s="149"/>
      <c r="P136" s="151"/>
      <c r="Q136" s="264"/>
      <c r="R136" s="264"/>
      <c r="S136" s="264"/>
      <c r="T136" s="265"/>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c r="AV136" s="266"/>
      <c r="AW136" s="266"/>
      <c r="AX136" s="266"/>
      <c r="AY136" s="266"/>
      <c r="AZ136" s="266"/>
      <c r="BA136" s="266"/>
      <c r="BB136" s="266"/>
      <c r="BC136" s="266"/>
      <c r="BD136" s="266"/>
      <c r="BE136" s="266"/>
      <c r="BF136" s="266"/>
      <c r="BG136" s="266"/>
      <c r="BH136" s="266"/>
      <c r="BI136" s="266"/>
      <c r="BJ136" s="266"/>
      <c r="BK136" s="266"/>
      <c r="BL136" s="266"/>
      <c r="BM136" s="266"/>
      <c r="BN136" s="266"/>
    </row>
    <row r="137" spans="1:69" s="267" customFormat="1" ht="13.2" x14ac:dyDescent="0.2">
      <c r="A137" s="144">
        <f>IF(COUNTBLANK(E137)=1," ",COUNTA($E$13:E137))</f>
        <v>114</v>
      </c>
      <c r="B137" s="280"/>
      <c r="C137" s="272" t="s">
        <v>291</v>
      </c>
      <c r="D137" s="158" t="s">
        <v>292</v>
      </c>
      <c r="E137" s="233">
        <f>ROUND(E136/8*1,2)</f>
        <v>0.97</v>
      </c>
      <c r="F137" s="155"/>
      <c r="G137" s="155"/>
      <c r="H137" s="156"/>
      <c r="I137" s="156"/>
      <c r="J137" s="156"/>
      <c r="K137" s="149"/>
      <c r="L137" s="150"/>
      <c r="M137" s="149"/>
      <c r="N137" s="149"/>
      <c r="O137" s="149"/>
      <c r="P137" s="151"/>
      <c r="Q137" s="264"/>
      <c r="R137" s="264"/>
      <c r="S137" s="264"/>
      <c r="T137" s="265"/>
      <c r="U137" s="266"/>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6"/>
      <c r="AQ137" s="266"/>
      <c r="AR137" s="266"/>
      <c r="AS137" s="266"/>
      <c r="AT137" s="266"/>
      <c r="AU137" s="266"/>
      <c r="AV137" s="266"/>
      <c r="AW137" s="266"/>
      <c r="AX137" s="266"/>
      <c r="AY137" s="266"/>
      <c r="AZ137" s="266"/>
      <c r="BA137" s="266"/>
      <c r="BB137" s="266"/>
      <c r="BC137" s="266"/>
      <c r="BD137" s="266"/>
      <c r="BE137" s="266"/>
      <c r="BF137" s="266"/>
      <c r="BG137" s="266"/>
      <c r="BH137" s="266"/>
      <c r="BI137" s="266"/>
      <c r="BJ137" s="266"/>
      <c r="BK137" s="266"/>
      <c r="BL137" s="266"/>
      <c r="BM137" s="266"/>
      <c r="BN137" s="266"/>
    </row>
    <row r="138" spans="1:69" s="267" customFormat="1" ht="13.2" x14ac:dyDescent="0.2">
      <c r="A138" s="144">
        <f>IF(COUNTBLANK(E138)=1," ",COUNTA($E$13:E138))</f>
        <v>115</v>
      </c>
      <c r="B138" s="280"/>
      <c r="C138" s="272" t="s">
        <v>293</v>
      </c>
      <c r="D138" s="158" t="s">
        <v>292</v>
      </c>
      <c r="E138" s="233">
        <f>ROUND(E136/8*2,2)</f>
        <v>1.94</v>
      </c>
      <c r="F138" s="155"/>
      <c r="G138" s="155"/>
      <c r="H138" s="156"/>
      <c r="I138" s="156"/>
      <c r="J138" s="156"/>
      <c r="K138" s="149"/>
      <c r="L138" s="150"/>
      <c r="M138" s="149"/>
      <c r="N138" s="149"/>
      <c r="O138" s="149"/>
      <c r="P138" s="151"/>
      <c r="Q138" s="264"/>
      <c r="R138" s="264"/>
      <c r="S138" s="264"/>
      <c r="T138" s="265"/>
      <c r="U138" s="266"/>
      <c r="V138" s="266"/>
      <c r="W138" s="266"/>
      <c r="X138" s="266"/>
      <c r="Y138" s="266"/>
      <c r="Z138" s="266"/>
      <c r="AA138" s="266"/>
      <c r="AB138" s="266"/>
      <c r="AC138" s="266"/>
      <c r="AD138" s="266"/>
      <c r="AE138" s="266"/>
      <c r="AF138" s="266"/>
      <c r="AG138" s="266"/>
      <c r="AH138" s="266"/>
      <c r="AI138" s="266"/>
      <c r="AJ138" s="266"/>
      <c r="AK138" s="266"/>
      <c r="AL138" s="266"/>
      <c r="AM138" s="266"/>
      <c r="AN138" s="266"/>
      <c r="AO138" s="266"/>
      <c r="AP138" s="266"/>
      <c r="AQ138" s="266"/>
      <c r="AR138" s="266"/>
      <c r="AS138" s="266"/>
      <c r="AT138" s="266"/>
      <c r="AU138" s="266"/>
      <c r="AV138" s="266"/>
      <c r="AW138" s="266"/>
      <c r="AX138" s="266"/>
      <c r="AY138" s="266"/>
      <c r="AZ138" s="266"/>
      <c r="BA138" s="266"/>
      <c r="BB138" s="266"/>
      <c r="BC138" s="266"/>
      <c r="BD138" s="266"/>
      <c r="BE138" s="266"/>
      <c r="BF138" s="266"/>
      <c r="BG138" s="266"/>
      <c r="BH138" s="266"/>
      <c r="BI138" s="266"/>
      <c r="BJ138" s="266"/>
      <c r="BK138" s="266"/>
      <c r="BL138" s="266"/>
      <c r="BM138" s="266"/>
      <c r="BN138" s="266"/>
    </row>
    <row r="139" spans="1:69" s="267" customFormat="1" ht="13.2" x14ac:dyDescent="0.2">
      <c r="A139" s="144">
        <f>IF(COUNTBLANK(E139)=1," ",COUNTA($E$13:E139))</f>
        <v>116</v>
      </c>
      <c r="B139" s="280"/>
      <c r="C139" s="272" t="s">
        <v>273</v>
      </c>
      <c r="D139" s="154" t="s">
        <v>78</v>
      </c>
      <c r="E139" s="233">
        <v>1</v>
      </c>
      <c r="F139" s="155"/>
      <c r="G139" s="155"/>
      <c r="H139" s="156"/>
      <c r="I139" s="156"/>
      <c r="J139" s="156"/>
      <c r="K139" s="149"/>
      <c r="L139" s="150"/>
      <c r="M139" s="149"/>
      <c r="N139" s="149"/>
      <c r="O139" s="149"/>
      <c r="P139" s="151"/>
      <c r="Q139" s="264"/>
      <c r="R139" s="264"/>
      <c r="S139" s="264"/>
      <c r="T139" s="268"/>
      <c r="U139" s="268"/>
      <c r="V139" s="268"/>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c r="AV139" s="266"/>
      <c r="AW139" s="266"/>
      <c r="AX139" s="266"/>
      <c r="AY139" s="266"/>
      <c r="AZ139" s="266"/>
      <c r="BA139" s="266"/>
      <c r="BB139" s="266"/>
      <c r="BC139" s="266"/>
      <c r="BD139" s="266"/>
      <c r="BE139" s="266"/>
      <c r="BF139" s="266"/>
      <c r="BG139" s="266"/>
      <c r="BH139" s="266"/>
      <c r="BI139" s="266"/>
      <c r="BJ139" s="266"/>
      <c r="BK139" s="266"/>
      <c r="BL139" s="266"/>
      <c r="BM139" s="266"/>
      <c r="BN139" s="266"/>
      <c r="BO139" s="266"/>
      <c r="BP139" s="266"/>
      <c r="BQ139" s="266"/>
    </row>
    <row r="140" spans="1:69" s="45" customFormat="1" x14ac:dyDescent="0.25">
      <c r="A140" s="144">
        <f>IF(COUNTBLANK(E140)=1," ",COUNTA($E$13:E140))</f>
        <v>117</v>
      </c>
      <c r="B140" s="211"/>
      <c r="C140" s="162" t="s">
        <v>119</v>
      </c>
      <c r="D140" s="14" t="s">
        <v>100</v>
      </c>
      <c r="E140" s="235">
        <v>8</v>
      </c>
      <c r="F140" s="155"/>
      <c r="G140" s="155"/>
      <c r="H140" s="156"/>
      <c r="I140" s="156"/>
      <c r="J140" s="156"/>
      <c r="K140" s="149"/>
      <c r="L140" s="150"/>
      <c r="M140" s="149"/>
      <c r="N140" s="149"/>
      <c r="O140" s="149"/>
      <c r="P140" s="151"/>
    </row>
    <row r="141" spans="1:69" s="45" customFormat="1" x14ac:dyDescent="0.25">
      <c r="A141" s="144">
        <f>IF(COUNTBLANK(E141)=1," ",COUNTA($E$13:E141))</f>
        <v>118</v>
      </c>
      <c r="B141" s="211"/>
      <c r="C141" s="270" t="s">
        <v>273</v>
      </c>
      <c r="D141" s="263" t="s">
        <v>78</v>
      </c>
      <c r="E141" s="271">
        <v>1</v>
      </c>
      <c r="F141" s="155"/>
      <c r="G141" s="155"/>
      <c r="H141" s="156"/>
      <c r="I141" s="156"/>
      <c r="J141" s="156"/>
      <c r="K141" s="149"/>
      <c r="L141" s="150"/>
      <c r="M141" s="149"/>
      <c r="N141" s="149"/>
      <c r="O141" s="149"/>
      <c r="P141" s="151"/>
    </row>
    <row r="142" spans="1:69" s="45" customFormat="1" ht="15.6" x14ac:dyDescent="0.25">
      <c r="A142" s="144" t="str">
        <f>IF(COUNTBLANK(E142)=1," ",COUNTA($E$13:E142))</f>
        <v xml:space="preserve"> </v>
      </c>
      <c r="B142" s="211"/>
      <c r="C142" s="217" t="s">
        <v>285</v>
      </c>
      <c r="D142" s="14"/>
      <c r="E142" s="14"/>
      <c r="F142" s="155"/>
      <c r="G142" s="155"/>
      <c r="H142" s="156"/>
      <c r="I142" s="156"/>
      <c r="J142" s="156"/>
      <c r="K142" s="149"/>
      <c r="L142" s="150"/>
      <c r="M142" s="149"/>
      <c r="N142" s="149"/>
      <c r="O142" s="149"/>
      <c r="P142" s="151"/>
    </row>
    <row r="143" spans="1:69" s="45" customFormat="1" ht="39.6" x14ac:dyDescent="0.25">
      <c r="A143" s="144">
        <f>IF(COUNTBLANK(E143)=1," ",COUNTA($E$13:E143))</f>
        <v>119</v>
      </c>
      <c r="B143" s="211"/>
      <c r="C143" s="216" t="s">
        <v>113</v>
      </c>
      <c r="D143" s="158" t="s">
        <v>95</v>
      </c>
      <c r="E143" s="233">
        <f>(E150/0.15)*1.1*0.2</f>
        <v>11.7216</v>
      </c>
      <c r="F143" s="155"/>
      <c r="G143" s="155"/>
      <c r="H143" s="156"/>
      <c r="I143" s="156"/>
      <c r="J143" s="156"/>
      <c r="K143" s="149"/>
      <c r="L143" s="150"/>
      <c r="M143" s="149"/>
      <c r="N143" s="149"/>
      <c r="O143" s="149"/>
      <c r="P143" s="151"/>
    </row>
    <row r="144" spans="1:69" s="45" customFormat="1" ht="39.6" x14ac:dyDescent="0.25">
      <c r="A144" s="144">
        <f>IF(COUNTBLANK(E144)=1," ",COUNTA($E$13:E144))</f>
        <v>120</v>
      </c>
      <c r="B144" s="211"/>
      <c r="C144" s="162" t="s">
        <v>114</v>
      </c>
      <c r="D144" s="158" t="s">
        <v>115</v>
      </c>
      <c r="E144" s="234">
        <f>0.128*10+0.0415*4</f>
        <v>1.446</v>
      </c>
      <c r="F144" s="155"/>
      <c r="G144" s="155"/>
      <c r="H144" s="156"/>
      <c r="I144" s="156"/>
      <c r="J144" s="156"/>
      <c r="K144" s="149"/>
      <c r="L144" s="150"/>
      <c r="M144" s="149"/>
      <c r="N144" s="149"/>
      <c r="O144" s="149"/>
      <c r="P144" s="151"/>
    </row>
    <row r="145" spans="1:69" s="45" customFormat="1" ht="26.4" x14ac:dyDescent="0.25">
      <c r="A145" s="144">
        <f>IF(COUNTBLANK(E145)=1," ",COUNTA($E$13:E145))</f>
        <v>121</v>
      </c>
      <c r="B145" s="215"/>
      <c r="C145" s="272" t="s">
        <v>294</v>
      </c>
      <c r="D145" s="158" t="s">
        <v>115</v>
      </c>
      <c r="E145" s="234">
        <f>E144*1.15</f>
        <v>1.6628999999999998</v>
      </c>
      <c r="F145" s="155"/>
      <c r="G145" s="155"/>
      <c r="H145" s="156"/>
      <c r="I145" s="156"/>
      <c r="J145" s="156"/>
      <c r="K145" s="149"/>
      <c r="L145" s="150"/>
      <c r="M145" s="149"/>
      <c r="N145" s="149"/>
      <c r="O145" s="149"/>
      <c r="P145" s="151"/>
    </row>
    <row r="146" spans="1:69" s="45" customFormat="1" ht="26.4" x14ac:dyDescent="0.25">
      <c r="A146" s="144">
        <f>IF(COUNTBLANK(E146)=1," ",COUNTA($E$13:E146))</f>
        <v>122</v>
      </c>
      <c r="B146" s="215"/>
      <c r="C146" s="272" t="s">
        <v>295</v>
      </c>
      <c r="D146" s="154" t="s">
        <v>78</v>
      </c>
      <c r="E146" s="234">
        <v>1</v>
      </c>
      <c r="F146" s="155"/>
      <c r="G146" s="155"/>
      <c r="H146" s="156"/>
      <c r="I146" s="156"/>
      <c r="J146" s="156"/>
      <c r="K146" s="149"/>
      <c r="L146" s="150"/>
      <c r="M146" s="149"/>
      <c r="N146" s="149"/>
      <c r="O146" s="149"/>
      <c r="P146" s="151"/>
    </row>
    <row r="147" spans="1:69" s="45" customFormat="1" x14ac:dyDescent="0.25">
      <c r="A147" s="144">
        <f>IF(COUNTBLANK(E147)=1," ",COUNTA($E$13:E147))</f>
        <v>123</v>
      </c>
      <c r="B147" s="215"/>
      <c r="C147" s="162" t="s">
        <v>288</v>
      </c>
      <c r="D147" s="263" t="s">
        <v>29</v>
      </c>
      <c r="E147" s="234">
        <v>63</v>
      </c>
      <c r="F147" s="155"/>
      <c r="G147" s="155"/>
      <c r="H147" s="156"/>
      <c r="I147" s="156"/>
      <c r="J147" s="156"/>
      <c r="K147" s="149"/>
      <c r="L147" s="150"/>
      <c r="M147" s="149"/>
      <c r="N147" s="149"/>
      <c r="O147" s="149"/>
      <c r="P147" s="151"/>
    </row>
    <row r="148" spans="1:69" s="45" customFormat="1" x14ac:dyDescent="0.25">
      <c r="A148" s="144">
        <f>IF(COUNTBLANK(E148)=1," ",COUNTA($E$13:E148))</f>
        <v>124</v>
      </c>
      <c r="B148" s="215"/>
      <c r="C148" s="272" t="s">
        <v>289</v>
      </c>
      <c r="D148" s="158" t="s">
        <v>29</v>
      </c>
      <c r="E148" s="233">
        <f>E147</f>
        <v>63</v>
      </c>
      <c r="F148" s="155"/>
      <c r="G148" s="155"/>
      <c r="H148" s="156"/>
      <c r="I148" s="156"/>
      <c r="J148" s="156"/>
      <c r="K148" s="149"/>
      <c r="L148" s="150"/>
      <c r="M148" s="149"/>
      <c r="N148" s="149"/>
      <c r="O148" s="149"/>
      <c r="P148" s="151"/>
    </row>
    <row r="149" spans="1:69" s="45" customFormat="1" ht="39.6" x14ac:dyDescent="0.25">
      <c r="A149" s="144">
        <f>IF(COUNTBLANK(E149)=1," ",COUNTA($E$13:E149))</f>
        <v>125</v>
      </c>
      <c r="B149" s="215"/>
      <c r="C149" s="272" t="s">
        <v>290</v>
      </c>
      <c r="D149" s="158" t="s">
        <v>29</v>
      </c>
      <c r="E149" s="233">
        <f>E147</f>
        <v>63</v>
      </c>
      <c r="F149" s="155"/>
      <c r="G149" s="155"/>
      <c r="H149" s="156"/>
      <c r="I149" s="156"/>
      <c r="J149" s="156"/>
      <c r="K149" s="149"/>
      <c r="L149" s="150"/>
      <c r="M149" s="149"/>
      <c r="N149" s="149"/>
      <c r="O149" s="149"/>
      <c r="P149" s="151"/>
    </row>
    <row r="150" spans="1:69" s="45" customFormat="1" ht="26.4" x14ac:dyDescent="0.25">
      <c r="A150" s="144">
        <f>IF(COUNTBLANK(E150)=1," ",COUNTA($E$13:E150))</f>
        <v>126</v>
      </c>
      <c r="B150" s="211"/>
      <c r="C150" s="162" t="s">
        <v>299</v>
      </c>
      <c r="D150" s="221" t="s">
        <v>95</v>
      </c>
      <c r="E150" s="234">
        <f>2.07*0.15*4+4.5*0.15*10</f>
        <v>7.9919999999999991</v>
      </c>
      <c r="F150" s="155"/>
      <c r="G150" s="155"/>
      <c r="H150" s="156"/>
      <c r="I150" s="156"/>
      <c r="J150" s="156"/>
      <c r="K150" s="149"/>
      <c r="L150" s="150"/>
      <c r="M150" s="149"/>
      <c r="N150" s="149"/>
      <c r="O150" s="149"/>
      <c r="P150" s="151"/>
    </row>
    <row r="151" spans="1:69" s="267" customFormat="1" ht="13.2" x14ac:dyDescent="0.2">
      <c r="A151" s="144">
        <f>IF(COUNTBLANK(E151)=1," ",COUNTA($E$13:E151))</f>
        <v>127</v>
      </c>
      <c r="B151" s="280"/>
      <c r="C151" s="272" t="s">
        <v>296</v>
      </c>
      <c r="D151" s="158" t="s">
        <v>95</v>
      </c>
      <c r="E151" s="233">
        <f>ROUND(E150*1.1,2)</f>
        <v>8.7899999999999991</v>
      </c>
      <c r="F151" s="155"/>
      <c r="G151" s="155"/>
      <c r="H151" s="156"/>
      <c r="I151" s="156"/>
      <c r="J151" s="156"/>
      <c r="K151" s="149"/>
      <c r="L151" s="150"/>
      <c r="M151" s="149"/>
      <c r="N151" s="149"/>
      <c r="O151" s="149"/>
      <c r="P151" s="151"/>
      <c r="Q151" s="264"/>
      <c r="R151" s="264"/>
      <c r="S151" s="264"/>
      <c r="T151" s="265"/>
      <c r="U151" s="266"/>
      <c r="V151" s="266"/>
      <c r="W151" s="266"/>
      <c r="X151" s="266"/>
      <c r="Y151" s="266"/>
      <c r="Z151" s="266"/>
      <c r="AA151" s="266"/>
      <c r="AB151" s="266"/>
      <c r="AC151" s="266"/>
      <c r="AD151" s="266"/>
      <c r="AE151" s="266"/>
      <c r="AF151" s="266"/>
      <c r="AG151" s="266"/>
      <c r="AH151" s="266"/>
      <c r="AI151" s="266"/>
      <c r="AJ151" s="266"/>
      <c r="AK151" s="266"/>
      <c r="AL151" s="266"/>
      <c r="AM151" s="266"/>
      <c r="AN151" s="266"/>
      <c r="AO151" s="266"/>
      <c r="AP151" s="266"/>
      <c r="AQ151" s="266"/>
      <c r="AR151" s="266"/>
      <c r="AS151" s="266"/>
      <c r="AT151" s="266"/>
      <c r="AU151" s="266"/>
      <c r="AV151" s="266"/>
      <c r="AW151" s="266"/>
      <c r="AX151" s="266"/>
      <c r="AY151" s="266"/>
      <c r="AZ151" s="266"/>
      <c r="BA151" s="266"/>
      <c r="BB151" s="266"/>
      <c r="BC151" s="266"/>
      <c r="BD151" s="266"/>
      <c r="BE151" s="266"/>
      <c r="BF151" s="266"/>
      <c r="BG151" s="266"/>
      <c r="BH151" s="266"/>
      <c r="BI151" s="266"/>
      <c r="BJ151" s="266"/>
      <c r="BK151" s="266"/>
      <c r="BL151" s="266"/>
      <c r="BM151" s="266"/>
      <c r="BN151" s="266"/>
    </row>
    <row r="152" spans="1:69" s="267" customFormat="1" ht="13.2" x14ac:dyDescent="0.2">
      <c r="A152" s="144">
        <f>IF(COUNTBLANK(E152)=1," ",COUNTA($E$13:E152))</f>
        <v>128</v>
      </c>
      <c r="B152" s="280"/>
      <c r="C152" s="272" t="s">
        <v>291</v>
      </c>
      <c r="D152" s="158" t="s">
        <v>292</v>
      </c>
      <c r="E152" s="233">
        <f>ROUND(E151/8*1,2)</f>
        <v>1.1000000000000001</v>
      </c>
      <c r="F152" s="155"/>
      <c r="G152" s="155"/>
      <c r="H152" s="156"/>
      <c r="I152" s="156"/>
      <c r="J152" s="156"/>
      <c r="K152" s="149"/>
      <c r="L152" s="150"/>
      <c r="M152" s="149"/>
      <c r="N152" s="149"/>
      <c r="O152" s="149"/>
      <c r="P152" s="151"/>
      <c r="Q152" s="264"/>
      <c r="R152" s="264"/>
      <c r="S152" s="264"/>
      <c r="T152" s="265"/>
      <c r="U152" s="266"/>
      <c r="V152" s="266"/>
      <c r="W152" s="266"/>
      <c r="X152" s="266"/>
      <c r="Y152" s="266"/>
      <c r="Z152" s="266"/>
      <c r="AA152" s="266"/>
      <c r="AB152" s="266"/>
      <c r="AC152" s="266"/>
      <c r="AD152" s="266"/>
      <c r="AE152" s="266"/>
      <c r="AF152" s="266"/>
      <c r="AG152" s="266"/>
      <c r="AH152" s="266"/>
      <c r="AI152" s="266"/>
      <c r="AJ152" s="266"/>
      <c r="AK152" s="266"/>
      <c r="AL152" s="266"/>
      <c r="AM152" s="266"/>
      <c r="AN152" s="266"/>
      <c r="AO152" s="266"/>
      <c r="AP152" s="266"/>
      <c r="AQ152" s="266"/>
      <c r="AR152" s="266"/>
      <c r="AS152" s="266"/>
      <c r="AT152" s="266"/>
      <c r="AU152" s="266"/>
      <c r="AV152" s="266"/>
      <c r="AW152" s="266"/>
      <c r="AX152" s="266"/>
      <c r="AY152" s="266"/>
      <c r="AZ152" s="266"/>
      <c r="BA152" s="266"/>
      <c r="BB152" s="266"/>
      <c r="BC152" s="266"/>
      <c r="BD152" s="266"/>
      <c r="BE152" s="266"/>
      <c r="BF152" s="266"/>
      <c r="BG152" s="266"/>
      <c r="BH152" s="266"/>
      <c r="BI152" s="266"/>
      <c r="BJ152" s="266"/>
      <c r="BK152" s="266"/>
      <c r="BL152" s="266"/>
      <c r="BM152" s="266"/>
      <c r="BN152" s="266"/>
    </row>
    <row r="153" spans="1:69" s="267" customFormat="1" ht="13.2" x14ac:dyDescent="0.2">
      <c r="A153" s="144">
        <f>IF(COUNTBLANK(E153)=1," ",COUNTA($E$13:E153))</f>
        <v>129</v>
      </c>
      <c r="B153" s="280"/>
      <c r="C153" s="272" t="s">
        <v>293</v>
      </c>
      <c r="D153" s="158" t="s">
        <v>292</v>
      </c>
      <c r="E153" s="233">
        <f>ROUND(E151/8*2,2)</f>
        <v>2.2000000000000002</v>
      </c>
      <c r="F153" s="155"/>
      <c r="G153" s="155"/>
      <c r="H153" s="156"/>
      <c r="I153" s="156"/>
      <c r="J153" s="156"/>
      <c r="K153" s="149"/>
      <c r="L153" s="150"/>
      <c r="M153" s="149"/>
      <c r="N153" s="149"/>
      <c r="O153" s="149"/>
      <c r="P153" s="151"/>
      <c r="Q153" s="264"/>
      <c r="R153" s="264"/>
      <c r="S153" s="264"/>
      <c r="T153" s="265"/>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266"/>
      <c r="AQ153" s="266"/>
      <c r="AR153" s="266"/>
      <c r="AS153" s="266"/>
      <c r="AT153" s="266"/>
      <c r="AU153" s="266"/>
      <c r="AV153" s="266"/>
      <c r="AW153" s="266"/>
      <c r="AX153" s="266"/>
      <c r="AY153" s="266"/>
      <c r="AZ153" s="266"/>
      <c r="BA153" s="266"/>
      <c r="BB153" s="266"/>
      <c r="BC153" s="266"/>
      <c r="BD153" s="266"/>
      <c r="BE153" s="266"/>
      <c r="BF153" s="266"/>
      <c r="BG153" s="266"/>
      <c r="BH153" s="266"/>
      <c r="BI153" s="266"/>
      <c r="BJ153" s="266"/>
      <c r="BK153" s="266"/>
      <c r="BL153" s="266"/>
      <c r="BM153" s="266"/>
      <c r="BN153" s="266"/>
    </row>
    <row r="154" spans="1:69" s="267" customFormat="1" ht="13.2" x14ac:dyDescent="0.2">
      <c r="A154" s="144">
        <f>IF(COUNTBLANK(E154)=1," ",COUNTA($E$13:E154))</f>
        <v>130</v>
      </c>
      <c r="B154" s="280"/>
      <c r="C154" s="272" t="s">
        <v>273</v>
      </c>
      <c r="D154" s="154" t="s">
        <v>78</v>
      </c>
      <c r="E154" s="233">
        <v>1</v>
      </c>
      <c r="F154" s="155"/>
      <c r="G154" s="155"/>
      <c r="H154" s="156"/>
      <c r="I154" s="156"/>
      <c r="J154" s="156"/>
      <c r="K154" s="149"/>
      <c r="L154" s="150"/>
      <c r="M154" s="149"/>
      <c r="N154" s="149"/>
      <c r="O154" s="149"/>
      <c r="P154" s="151"/>
      <c r="Q154" s="264"/>
      <c r="R154" s="264"/>
      <c r="S154" s="264"/>
      <c r="T154" s="268"/>
      <c r="U154" s="268"/>
      <c r="V154" s="268"/>
      <c r="W154" s="266"/>
      <c r="X154" s="266"/>
      <c r="Y154" s="266"/>
      <c r="Z154" s="266"/>
      <c r="AA154" s="266"/>
      <c r="AB154" s="266"/>
      <c r="AC154" s="266"/>
      <c r="AD154" s="266"/>
      <c r="AE154" s="266"/>
      <c r="AF154" s="266"/>
      <c r="AG154" s="266"/>
      <c r="AH154" s="266"/>
      <c r="AI154" s="266"/>
      <c r="AJ154" s="266"/>
      <c r="AK154" s="266"/>
      <c r="AL154" s="266"/>
      <c r="AM154" s="266"/>
      <c r="AN154" s="266"/>
      <c r="AO154" s="266"/>
      <c r="AP154" s="266"/>
      <c r="AQ154" s="266"/>
      <c r="AR154" s="266"/>
      <c r="AS154" s="266"/>
      <c r="AT154" s="266"/>
      <c r="AU154" s="266"/>
      <c r="AV154" s="266"/>
      <c r="AW154" s="266"/>
      <c r="AX154" s="266"/>
      <c r="AY154" s="266"/>
      <c r="AZ154" s="266"/>
      <c r="BA154" s="266"/>
      <c r="BB154" s="266"/>
      <c r="BC154" s="266"/>
      <c r="BD154" s="266"/>
      <c r="BE154" s="266"/>
      <c r="BF154" s="266"/>
      <c r="BG154" s="266"/>
      <c r="BH154" s="266"/>
      <c r="BI154" s="266"/>
      <c r="BJ154" s="266"/>
      <c r="BK154" s="266"/>
      <c r="BL154" s="266"/>
      <c r="BM154" s="266"/>
      <c r="BN154" s="266"/>
      <c r="BO154" s="266"/>
      <c r="BP154" s="266"/>
      <c r="BQ154" s="266"/>
    </row>
    <row r="155" spans="1:69" s="45" customFormat="1" x14ac:dyDescent="0.25">
      <c r="A155" s="144">
        <f>IF(COUNTBLANK(E155)=1," ",COUNTA($E$13:E155))</f>
        <v>131</v>
      </c>
      <c r="B155" s="211"/>
      <c r="C155" s="162" t="s">
        <v>119</v>
      </c>
      <c r="D155" s="14" t="s">
        <v>100</v>
      </c>
      <c r="E155" s="235">
        <f>4*14</f>
        <v>56</v>
      </c>
      <c r="F155" s="155"/>
      <c r="G155" s="155"/>
      <c r="H155" s="156"/>
      <c r="I155" s="156"/>
      <c r="J155" s="156"/>
      <c r="K155" s="149"/>
      <c r="L155" s="150"/>
      <c r="M155" s="149"/>
      <c r="N155" s="149"/>
      <c r="O155" s="149"/>
      <c r="P155" s="151"/>
    </row>
    <row r="156" spans="1:69" s="45" customFormat="1" x14ac:dyDescent="0.25">
      <c r="A156" s="144">
        <f>IF(COUNTBLANK(E156)=1," ",COUNTA($E$13:E156))</f>
        <v>132</v>
      </c>
      <c r="B156" s="211"/>
      <c r="C156" s="270" t="s">
        <v>273</v>
      </c>
      <c r="D156" s="263" t="s">
        <v>78</v>
      </c>
      <c r="E156" s="271">
        <v>1</v>
      </c>
      <c r="F156" s="155"/>
      <c r="G156" s="155"/>
      <c r="H156" s="156"/>
      <c r="I156" s="156"/>
      <c r="J156" s="156"/>
      <c r="K156" s="149"/>
      <c r="L156" s="150"/>
      <c r="M156" s="149"/>
      <c r="N156" s="149"/>
      <c r="O156" s="149"/>
      <c r="P156" s="151"/>
    </row>
    <row r="157" spans="1:69" s="45" customFormat="1" ht="15.6" x14ac:dyDescent="0.25">
      <c r="A157" s="144" t="str">
        <f>IF(COUNTBLANK(E157)=1," ",COUNTA($E$13:E157))</f>
        <v xml:space="preserve"> </v>
      </c>
      <c r="B157" s="211"/>
      <c r="C157" s="217" t="s">
        <v>267</v>
      </c>
      <c r="D157" s="14"/>
      <c r="E157" s="235"/>
      <c r="F157" s="155"/>
      <c r="G157" s="155"/>
      <c r="H157" s="156"/>
      <c r="I157" s="156"/>
      <c r="J157" s="156"/>
      <c r="K157" s="149"/>
      <c r="L157" s="150"/>
      <c r="M157" s="149"/>
      <c r="N157" s="149"/>
      <c r="O157" s="149"/>
      <c r="P157" s="151"/>
    </row>
    <row r="158" spans="1:69" s="45" customFormat="1" x14ac:dyDescent="0.25">
      <c r="A158" s="144">
        <f>IF(COUNTBLANK(E158)=1," ",COUNTA($E$13:E158))</f>
        <v>133</v>
      </c>
      <c r="B158" s="211"/>
      <c r="C158" s="162" t="s">
        <v>270</v>
      </c>
      <c r="D158" s="14" t="s">
        <v>75</v>
      </c>
      <c r="E158" s="235">
        <v>37</v>
      </c>
      <c r="F158" s="155"/>
      <c r="G158" s="155"/>
      <c r="H158" s="156"/>
      <c r="I158" s="156"/>
      <c r="J158" s="156"/>
      <c r="K158" s="149"/>
      <c r="L158" s="150"/>
      <c r="M158" s="149"/>
      <c r="N158" s="149"/>
      <c r="O158" s="149"/>
      <c r="P158" s="151"/>
    </row>
    <row r="159" spans="1:69" s="45" customFormat="1" x14ac:dyDescent="0.25">
      <c r="A159" s="144">
        <f>IF(COUNTBLANK(E159)=1," ",COUNTA($E$13:E159))</f>
        <v>134</v>
      </c>
      <c r="B159" s="211"/>
      <c r="C159" s="162" t="s">
        <v>268</v>
      </c>
      <c r="D159" s="14" t="s">
        <v>75</v>
      </c>
      <c r="E159" s="235">
        <v>37</v>
      </c>
      <c r="F159" s="155"/>
      <c r="G159" s="155"/>
      <c r="H159" s="156"/>
      <c r="I159" s="156"/>
      <c r="J159" s="156"/>
      <c r="K159" s="149"/>
      <c r="L159" s="150"/>
      <c r="M159" s="149"/>
      <c r="N159" s="149"/>
      <c r="O159" s="149"/>
      <c r="P159" s="151"/>
    </row>
    <row r="160" spans="1:69" s="45" customFormat="1" ht="26.4" x14ac:dyDescent="0.25">
      <c r="A160" s="144">
        <f>IF(COUNTBLANK(E160)=1," ",COUNTA($E$13:E160))</f>
        <v>135</v>
      </c>
      <c r="B160" s="211"/>
      <c r="C160" s="162" t="s">
        <v>269</v>
      </c>
      <c r="D160" s="14" t="s">
        <v>78</v>
      </c>
      <c r="E160" s="235">
        <v>1</v>
      </c>
      <c r="F160" s="155"/>
      <c r="G160" s="155"/>
      <c r="H160" s="156"/>
      <c r="I160" s="156"/>
      <c r="J160" s="156"/>
      <c r="K160" s="149"/>
      <c r="L160" s="150"/>
      <c r="M160" s="149"/>
      <c r="N160" s="149"/>
      <c r="O160" s="149"/>
      <c r="P160" s="151"/>
    </row>
    <row r="161" spans="1:69" ht="15.6" x14ac:dyDescent="0.25">
      <c r="A161" s="144" t="str">
        <f>IF(COUNTBLANK(E161)=1," ",COUNTA($E$13:E161))</f>
        <v xml:space="preserve"> </v>
      </c>
      <c r="B161" s="211">
        <v>0</v>
      </c>
      <c r="C161" s="217" t="s">
        <v>101</v>
      </c>
      <c r="D161" s="14"/>
      <c r="E161" s="14"/>
      <c r="F161" s="212"/>
      <c r="G161" s="213"/>
      <c r="H161" s="156"/>
      <c r="I161" s="213"/>
      <c r="J161" s="213"/>
      <c r="K161" s="213"/>
      <c r="L161" s="212"/>
      <c r="M161" s="213"/>
      <c r="N161" s="213"/>
      <c r="O161" s="213"/>
      <c r="P161" s="214"/>
    </row>
    <row r="162" spans="1:69" ht="26.4" x14ac:dyDescent="0.25">
      <c r="A162" s="144">
        <f>IF(COUNTBLANK(E162)=1," ",COUNTA($E$13:E162))</f>
        <v>136</v>
      </c>
      <c r="B162" s="215"/>
      <c r="C162" s="162" t="s">
        <v>125</v>
      </c>
      <c r="D162" s="221" t="s">
        <v>29</v>
      </c>
      <c r="E162" s="234">
        <v>167.3</v>
      </c>
      <c r="F162" s="212"/>
      <c r="G162" s="213"/>
      <c r="H162" s="156"/>
      <c r="I162" s="213"/>
      <c r="J162" s="213"/>
      <c r="K162" s="213"/>
      <c r="L162" s="212"/>
      <c r="M162" s="213"/>
      <c r="N162" s="213"/>
      <c r="O162" s="213"/>
      <c r="P162" s="214"/>
    </row>
    <row r="163" spans="1:69" ht="39.6" x14ac:dyDescent="0.25">
      <c r="A163" s="144">
        <f>IF(COUNTBLANK(E163)=1," ",COUNTA($E$13:E163))</f>
        <v>137</v>
      </c>
      <c r="B163" s="215"/>
      <c r="C163" s="162" t="s">
        <v>164</v>
      </c>
      <c r="D163" s="221" t="s">
        <v>75</v>
      </c>
      <c r="E163" s="234">
        <v>168</v>
      </c>
      <c r="F163" s="212"/>
      <c r="G163" s="213"/>
      <c r="H163" s="156"/>
      <c r="I163" s="213"/>
      <c r="J163" s="213"/>
      <c r="K163" s="213"/>
      <c r="L163" s="212"/>
      <c r="M163" s="213"/>
      <c r="N163" s="213"/>
      <c r="O163" s="213"/>
      <c r="P163" s="214"/>
    </row>
    <row r="164" spans="1:69" ht="26.4" x14ac:dyDescent="0.25">
      <c r="A164" s="144">
        <f>IF(COUNTBLANK(E164)=1," ",COUNTA($E$13:E164))</f>
        <v>138</v>
      </c>
      <c r="B164" s="215"/>
      <c r="C164" s="162" t="s">
        <v>165</v>
      </c>
      <c r="D164" s="221" t="s">
        <v>75</v>
      </c>
      <c r="E164" s="234">
        <v>168</v>
      </c>
      <c r="F164" s="212"/>
      <c r="G164" s="213"/>
      <c r="H164" s="156"/>
      <c r="I164" s="213"/>
      <c r="J164" s="213"/>
      <c r="K164" s="213"/>
      <c r="L164" s="212"/>
      <c r="M164" s="213"/>
      <c r="N164" s="213"/>
      <c r="O164" s="213"/>
      <c r="P164" s="214"/>
    </row>
    <row r="165" spans="1:69" x14ac:dyDescent="0.25">
      <c r="A165" s="144">
        <f>IF(COUNTBLANK(E165)=1," ",COUNTA($E$13:E165))</f>
        <v>139</v>
      </c>
      <c r="B165" s="215"/>
      <c r="C165" s="270" t="s">
        <v>273</v>
      </c>
      <c r="D165" s="263" t="s">
        <v>78</v>
      </c>
      <c r="E165" s="271">
        <v>1</v>
      </c>
      <c r="F165" s="212"/>
      <c r="G165" s="213"/>
      <c r="H165" s="156"/>
      <c r="I165" s="213"/>
      <c r="J165" s="213"/>
      <c r="K165" s="213"/>
      <c r="L165" s="212"/>
      <c r="M165" s="213"/>
      <c r="N165" s="213"/>
      <c r="O165" s="213"/>
      <c r="P165" s="214"/>
    </row>
    <row r="166" spans="1:69" ht="15.6" x14ac:dyDescent="0.25">
      <c r="A166" s="144" t="str">
        <f>IF(COUNTBLANK(E166)=1," ",COUNTA($E$13:E166))</f>
        <v xml:space="preserve"> </v>
      </c>
      <c r="B166" s="211">
        <v>0</v>
      </c>
      <c r="C166" s="282" t="s">
        <v>104</v>
      </c>
      <c r="D166" s="14"/>
      <c r="E166" s="14"/>
      <c r="F166" s="212"/>
      <c r="G166" s="213"/>
      <c r="H166" s="156"/>
      <c r="I166" s="213"/>
      <c r="J166" s="213"/>
      <c r="K166" s="213"/>
      <c r="L166" s="212"/>
      <c r="M166" s="213"/>
      <c r="N166" s="213"/>
      <c r="O166" s="213"/>
      <c r="P166" s="214"/>
    </row>
    <row r="167" spans="1:69" ht="15.6" x14ac:dyDescent="0.25">
      <c r="A167" s="144" t="str">
        <f>IF(COUNTBLANK(E167)=1," ",COUNTA($E$13:E167))</f>
        <v xml:space="preserve"> </v>
      </c>
      <c r="B167" s="211">
        <v>0</v>
      </c>
      <c r="C167" s="217" t="s">
        <v>126</v>
      </c>
      <c r="D167" s="14"/>
      <c r="E167" s="14"/>
      <c r="F167" s="212"/>
      <c r="G167" s="213"/>
      <c r="H167" s="156"/>
      <c r="I167" s="213"/>
      <c r="J167" s="213"/>
      <c r="K167" s="213"/>
      <c r="L167" s="212"/>
      <c r="M167" s="213"/>
      <c r="N167" s="213"/>
      <c r="O167" s="213"/>
      <c r="P167" s="214"/>
    </row>
    <row r="168" spans="1:69" ht="15.75" customHeight="1" x14ac:dyDescent="0.25">
      <c r="A168" s="144">
        <f>IF(COUNTBLANK(E168)=1," ",COUNTA($E$13:E168))</f>
        <v>140</v>
      </c>
      <c r="B168" s="222"/>
      <c r="C168" s="270" t="s">
        <v>127</v>
      </c>
      <c r="D168" s="221" t="s">
        <v>29</v>
      </c>
      <c r="E168" s="273">
        <v>346.14</v>
      </c>
      <c r="F168" s="212"/>
      <c r="G168" s="213"/>
      <c r="H168" s="156"/>
      <c r="I168" s="213"/>
      <c r="J168" s="213"/>
      <c r="K168" s="213"/>
      <c r="L168" s="212"/>
      <c r="M168" s="213"/>
      <c r="N168" s="213"/>
      <c r="O168" s="213"/>
      <c r="P168" s="214"/>
    </row>
    <row r="169" spans="1:69" ht="26.4" x14ac:dyDescent="0.25">
      <c r="A169" s="144">
        <f>IF(COUNTBLANK(E169)=1," ",COUNTA($E$13:E169))</f>
        <v>141</v>
      </c>
      <c r="B169" s="222"/>
      <c r="C169" s="270" t="s">
        <v>147</v>
      </c>
      <c r="D169" s="221" t="s">
        <v>29</v>
      </c>
      <c r="E169" s="273">
        <v>346.14</v>
      </c>
      <c r="F169" s="212"/>
      <c r="G169" s="213"/>
      <c r="H169" s="156"/>
      <c r="I169" s="213"/>
      <c r="J169" s="213"/>
      <c r="K169" s="213"/>
      <c r="L169" s="212"/>
      <c r="M169" s="213"/>
      <c r="N169" s="213"/>
      <c r="O169" s="213"/>
      <c r="P169" s="214"/>
    </row>
    <row r="170" spans="1:69" s="267" customFormat="1" ht="13.2" x14ac:dyDescent="0.2">
      <c r="A170" s="144">
        <f>IF(COUNTBLANK(E170)=1," ",COUNTA($E$13:E170))</f>
        <v>142</v>
      </c>
      <c r="B170" s="280"/>
      <c r="C170" s="272" t="s">
        <v>296</v>
      </c>
      <c r="D170" s="158" t="s">
        <v>95</v>
      </c>
      <c r="E170" s="233">
        <f>ROUND(E169*0.14*1.1,2)</f>
        <v>53.31</v>
      </c>
      <c r="F170" s="155"/>
      <c r="G170" s="155"/>
      <c r="H170" s="156"/>
      <c r="I170" s="156"/>
      <c r="J170" s="156"/>
      <c r="K170" s="149"/>
      <c r="L170" s="150"/>
      <c r="M170" s="149"/>
      <c r="N170" s="149"/>
      <c r="O170" s="149"/>
      <c r="P170" s="151"/>
      <c r="Q170" s="264"/>
      <c r="R170" s="264"/>
      <c r="S170" s="264"/>
      <c r="T170" s="265"/>
      <c r="U170" s="266"/>
      <c r="V170" s="266"/>
      <c r="W170" s="266"/>
      <c r="X170" s="266"/>
      <c r="Y170" s="266"/>
      <c r="Z170" s="266"/>
      <c r="AA170" s="266"/>
      <c r="AB170" s="266"/>
      <c r="AC170" s="266"/>
      <c r="AD170" s="266"/>
      <c r="AE170" s="266"/>
      <c r="AF170" s="266"/>
      <c r="AG170" s="266"/>
      <c r="AH170" s="266"/>
      <c r="AI170" s="266"/>
      <c r="AJ170" s="266"/>
      <c r="AK170" s="266"/>
      <c r="AL170" s="266"/>
      <c r="AM170" s="266"/>
      <c r="AN170" s="266"/>
      <c r="AO170" s="266"/>
      <c r="AP170" s="266"/>
      <c r="AQ170" s="266"/>
      <c r="AR170" s="266"/>
      <c r="AS170" s="266"/>
      <c r="AT170" s="266"/>
      <c r="AU170" s="266"/>
      <c r="AV170" s="266"/>
      <c r="AW170" s="266"/>
      <c r="AX170" s="266"/>
      <c r="AY170" s="266"/>
      <c r="AZ170" s="266"/>
      <c r="BA170" s="266"/>
      <c r="BB170" s="266"/>
      <c r="BC170" s="266"/>
      <c r="BD170" s="266"/>
      <c r="BE170" s="266"/>
      <c r="BF170" s="266"/>
      <c r="BG170" s="266"/>
      <c r="BH170" s="266"/>
      <c r="BI170" s="266"/>
      <c r="BJ170" s="266"/>
      <c r="BK170" s="266"/>
      <c r="BL170" s="266"/>
      <c r="BM170" s="266"/>
      <c r="BN170" s="266"/>
    </row>
    <row r="171" spans="1:69" s="267" customFormat="1" ht="13.2" x14ac:dyDescent="0.2">
      <c r="A171" s="144">
        <f>IF(COUNTBLANK(E171)=1," ",COUNTA($E$13:E171))</f>
        <v>143</v>
      </c>
      <c r="B171" s="280"/>
      <c r="C171" s="272" t="s">
        <v>291</v>
      </c>
      <c r="D171" s="158" t="s">
        <v>292</v>
      </c>
      <c r="E171" s="233">
        <f>ROUND(E170/8*1,2)</f>
        <v>6.66</v>
      </c>
      <c r="F171" s="155"/>
      <c r="G171" s="155"/>
      <c r="H171" s="156"/>
      <c r="I171" s="156"/>
      <c r="J171" s="156"/>
      <c r="K171" s="149"/>
      <c r="L171" s="150"/>
      <c r="M171" s="149"/>
      <c r="N171" s="149"/>
      <c r="O171" s="149"/>
      <c r="P171" s="151"/>
      <c r="Q171" s="264"/>
      <c r="R171" s="264"/>
      <c r="S171" s="264"/>
      <c r="T171" s="265"/>
      <c r="U171" s="266"/>
      <c r="V171" s="266"/>
      <c r="W171" s="266"/>
      <c r="X171" s="266"/>
      <c r="Y171" s="266"/>
      <c r="Z171" s="266"/>
      <c r="AA171" s="266"/>
      <c r="AB171" s="266"/>
      <c r="AC171" s="266"/>
      <c r="AD171" s="266"/>
      <c r="AE171" s="266"/>
      <c r="AF171" s="266"/>
      <c r="AG171" s="266"/>
      <c r="AH171" s="266"/>
      <c r="AI171" s="266"/>
      <c r="AJ171" s="266"/>
      <c r="AK171" s="266"/>
      <c r="AL171" s="266"/>
      <c r="AM171" s="266"/>
      <c r="AN171" s="266"/>
      <c r="AO171" s="266"/>
      <c r="AP171" s="266"/>
      <c r="AQ171" s="266"/>
      <c r="AR171" s="266"/>
      <c r="AS171" s="266"/>
      <c r="AT171" s="266"/>
      <c r="AU171" s="266"/>
      <c r="AV171" s="266"/>
      <c r="AW171" s="266"/>
      <c r="AX171" s="266"/>
      <c r="AY171" s="266"/>
      <c r="AZ171" s="266"/>
      <c r="BA171" s="266"/>
      <c r="BB171" s="266"/>
      <c r="BC171" s="266"/>
      <c r="BD171" s="266"/>
      <c r="BE171" s="266"/>
      <c r="BF171" s="266"/>
      <c r="BG171" s="266"/>
      <c r="BH171" s="266"/>
      <c r="BI171" s="266"/>
      <c r="BJ171" s="266"/>
      <c r="BK171" s="266"/>
      <c r="BL171" s="266"/>
      <c r="BM171" s="266"/>
      <c r="BN171" s="266"/>
    </row>
    <row r="172" spans="1:69" s="267" customFormat="1" ht="13.2" x14ac:dyDescent="0.2">
      <c r="A172" s="144">
        <f>IF(COUNTBLANK(E172)=1," ",COUNTA($E$13:E172))</f>
        <v>144</v>
      </c>
      <c r="B172" s="280"/>
      <c r="C172" s="272" t="s">
        <v>293</v>
      </c>
      <c r="D172" s="158" t="s">
        <v>292</v>
      </c>
      <c r="E172" s="233">
        <f>ROUND(E170/8*2,2)</f>
        <v>13.33</v>
      </c>
      <c r="F172" s="155"/>
      <c r="G172" s="155"/>
      <c r="H172" s="156"/>
      <c r="I172" s="156"/>
      <c r="J172" s="156"/>
      <c r="K172" s="149"/>
      <c r="L172" s="150"/>
      <c r="M172" s="149"/>
      <c r="N172" s="149"/>
      <c r="O172" s="149"/>
      <c r="P172" s="151"/>
      <c r="Q172" s="264"/>
      <c r="R172" s="264"/>
      <c r="S172" s="264"/>
      <c r="T172" s="265"/>
      <c r="U172" s="266"/>
      <c r="V172" s="266"/>
      <c r="W172" s="266"/>
      <c r="X172" s="266"/>
      <c r="Y172" s="266"/>
      <c r="Z172" s="266"/>
      <c r="AA172" s="266"/>
      <c r="AB172" s="266"/>
      <c r="AC172" s="266"/>
      <c r="AD172" s="266"/>
      <c r="AE172" s="266"/>
      <c r="AF172" s="266"/>
      <c r="AG172" s="266"/>
      <c r="AH172" s="266"/>
      <c r="AI172" s="266"/>
      <c r="AJ172" s="266"/>
      <c r="AK172" s="266"/>
      <c r="AL172" s="266"/>
      <c r="AM172" s="266"/>
      <c r="AN172" s="266"/>
      <c r="AO172" s="266"/>
      <c r="AP172" s="266"/>
      <c r="AQ172" s="266"/>
      <c r="AR172" s="266"/>
      <c r="AS172" s="266"/>
      <c r="AT172" s="266"/>
      <c r="AU172" s="266"/>
      <c r="AV172" s="266"/>
      <c r="AW172" s="266"/>
      <c r="AX172" s="266"/>
      <c r="AY172" s="266"/>
      <c r="AZ172" s="266"/>
      <c r="BA172" s="266"/>
      <c r="BB172" s="266"/>
      <c r="BC172" s="266"/>
      <c r="BD172" s="266"/>
      <c r="BE172" s="266"/>
      <c r="BF172" s="266"/>
      <c r="BG172" s="266"/>
      <c r="BH172" s="266"/>
      <c r="BI172" s="266"/>
      <c r="BJ172" s="266"/>
      <c r="BK172" s="266"/>
      <c r="BL172" s="266"/>
      <c r="BM172" s="266"/>
      <c r="BN172" s="266"/>
    </row>
    <row r="173" spans="1:69" s="267" customFormat="1" ht="13.2" x14ac:dyDescent="0.2">
      <c r="A173" s="144">
        <f>IF(COUNTBLANK(E173)=1," ",COUNTA($E$13:E173))</f>
        <v>145</v>
      </c>
      <c r="B173" s="280"/>
      <c r="C173" s="272" t="s">
        <v>273</v>
      </c>
      <c r="D173" s="154" t="s">
        <v>78</v>
      </c>
      <c r="E173" s="233">
        <v>1</v>
      </c>
      <c r="F173" s="155"/>
      <c r="G173" s="155"/>
      <c r="H173" s="156"/>
      <c r="I173" s="156"/>
      <c r="J173" s="156"/>
      <c r="K173" s="149"/>
      <c r="L173" s="150"/>
      <c r="M173" s="149"/>
      <c r="N173" s="149"/>
      <c r="O173" s="149"/>
      <c r="P173" s="151"/>
      <c r="Q173" s="264"/>
      <c r="R173" s="264"/>
      <c r="S173" s="264"/>
      <c r="T173" s="268"/>
      <c r="U173" s="268"/>
      <c r="V173" s="268"/>
      <c r="W173" s="266"/>
      <c r="X173" s="266"/>
      <c r="Y173" s="266"/>
      <c r="Z173" s="266"/>
      <c r="AA173" s="266"/>
      <c r="AB173" s="266"/>
      <c r="AC173" s="266"/>
      <c r="AD173" s="266"/>
      <c r="AE173" s="266"/>
      <c r="AF173" s="266"/>
      <c r="AG173" s="266"/>
      <c r="AH173" s="266"/>
      <c r="AI173" s="266"/>
      <c r="AJ173" s="266"/>
      <c r="AK173" s="266"/>
      <c r="AL173" s="266"/>
      <c r="AM173" s="266"/>
      <c r="AN173" s="266"/>
      <c r="AO173" s="266"/>
      <c r="AP173" s="266"/>
      <c r="AQ173" s="266"/>
      <c r="AR173" s="266"/>
      <c r="AS173" s="266"/>
      <c r="AT173" s="266"/>
      <c r="AU173" s="266"/>
      <c r="AV173" s="266"/>
      <c r="AW173" s="266"/>
      <c r="AX173" s="266"/>
      <c r="AY173" s="266"/>
      <c r="AZ173" s="266"/>
      <c r="BA173" s="266"/>
      <c r="BB173" s="266"/>
      <c r="BC173" s="266"/>
      <c r="BD173" s="266"/>
      <c r="BE173" s="266"/>
      <c r="BF173" s="266"/>
      <c r="BG173" s="266"/>
      <c r="BH173" s="266"/>
      <c r="BI173" s="266"/>
      <c r="BJ173" s="266"/>
      <c r="BK173" s="266"/>
      <c r="BL173" s="266"/>
      <c r="BM173" s="266"/>
      <c r="BN173" s="266"/>
      <c r="BO173" s="266"/>
      <c r="BP173" s="266"/>
      <c r="BQ173" s="266"/>
    </row>
    <row r="174" spans="1:69" x14ac:dyDescent="0.25">
      <c r="A174" s="144">
        <f>IF(COUNTBLANK(E174)=1," ",COUNTA($E$13:E174))</f>
        <v>146</v>
      </c>
      <c r="B174" s="222"/>
      <c r="C174" s="270" t="s">
        <v>133</v>
      </c>
      <c r="D174" s="221" t="s">
        <v>29</v>
      </c>
      <c r="E174" s="273">
        <v>346.14</v>
      </c>
      <c r="F174" s="212"/>
      <c r="G174" s="213"/>
      <c r="H174" s="156"/>
      <c r="I174" s="213"/>
      <c r="J174" s="213"/>
      <c r="K174" s="213"/>
      <c r="L174" s="212"/>
      <c r="M174" s="213"/>
      <c r="N174" s="213"/>
      <c r="O174" s="213"/>
      <c r="P174" s="214"/>
    </row>
    <row r="175" spans="1:69" s="45" customFormat="1" ht="26.4" x14ac:dyDescent="0.25">
      <c r="A175" s="144">
        <f>IF(COUNTBLANK(E175)=1," ",COUNTA($E$13:E175))</f>
        <v>147</v>
      </c>
      <c r="B175" s="215"/>
      <c r="C175" s="272" t="s">
        <v>294</v>
      </c>
      <c r="D175" s="154" t="s">
        <v>29</v>
      </c>
      <c r="E175" s="234">
        <f>E174*1.15</f>
        <v>398.06099999999998</v>
      </c>
      <c r="F175" s="155"/>
      <c r="G175" s="155"/>
      <c r="H175" s="156"/>
      <c r="I175" s="156"/>
      <c r="J175" s="156"/>
      <c r="K175" s="149"/>
      <c r="L175" s="150"/>
      <c r="M175" s="149"/>
      <c r="N175" s="149"/>
      <c r="O175" s="149"/>
      <c r="P175" s="151"/>
    </row>
    <row r="176" spans="1:69" s="45" customFormat="1" ht="26.4" x14ac:dyDescent="0.25">
      <c r="A176" s="144">
        <f>IF(COUNTBLANK(E176)=1," ",COUNTA($E$13:E176))</f>
        <v>148</v>
      </c>
      <c r="B176" s="215"/>
      <c r="C176" s="272" t="s">
        <v>295</v>
      </c>
      <c r="D176" s="154" t="s">
        <v>78</v>
      </c>
      <c r="E176" s="234">
        <v>1</v>
      </c>
      <c r="F176" s="155"/>
      <c r="G176" s="155"/>
      <c r="H176" s="156"/>
      <c r="I176" s="156"/>
      <c r="J176" s="156"/>
      <c r="K176" s="149"/>
      <c r="L176" s="150"/>
      <c r="M176" s="149"/>
      <c r="N176" s="149"/>
      <c r="O176" s="149"/>
      <c r="P176" s="151"/>
    </row>
    <row r="177" spans="1:69" x14ac:dyDescent="0.25">
      <c r="A177" s="144">
        <f>IF(COUNTBLANK(E177)=1," ",COUNTA($E$13:E177))</f>
        <v>149</v>
      </c>
      <c r="B177" s="222"/>
      <c r="C177" s="270" t="s">
        <v>134</v>
      </c>
      <c r="D177" s="221" t="s">
        <v>29</v>
      </c>
      <c r="E177" s="273">
        <v>346.14</v>
      </c>
      <c r="F177" s="212"/>
      <c r="G177" s="213"/>
      <c r="H177" s="156"/>
      <c r="I177" s="213"/>
      <c r="J177" s="213"/>
      <c r="K177" s="213"/>
      <c r="L177" s="212"/>
      <c r="M177" s="213"/>
      <c r="N177" s="213"/>
      <c r="O177" s="213"/>
      <c r="P177" s="214"/>
    </row>
    <row r="178" spans="1:69" x14ac:dyDescent="0.25">
      <c r="A178" s="144">
        <f>IF(COUNTBLANK(E178)=1," ",COUNTA($E$13:E178))</f>
        <v>150</v>
      </c>
      <c r="B178" s="222"/>
      <c r="C178" s="270" t="s">
        <v>135</v>
      </c>
      <c r="D178" s="221" t="s">
        <v>29</v>
      </c>
      <c r="E178" s="273">
        <v>346.14</v>
      </c>
      <c r="F178" s="212"/>
      <c r="G178" s="213"/>
      <c r="H178" s="156"/>
      <c r="I178" s="213"/>
      <c r="J178" s="213"/>
      <c r="K178" s="213"/>
      <c r="L178" s="212"/>
      <c r="M178" s="213"/>
      <c r="N178" s="213"/>
      <c r="O178" s="213"/>
      <c r="P178" s="214"/>
    </row>
    <row r="179" spans="1:69" x14ac:dyDescent="0.25">
      <c r="A179" s="144">
        <f>IF(COUNTBLANK(E179)=1," ",COUNTA($E$13:E179))</f>
        <v>151</v>
      </c>
      <c r="B179" s="222"/>
      <c r="C179" s="270" t="s">
        <v>136</v>
      </c>
      <c r="D179" s="221" t="s">
        <v>29</v>
      </c>
      <c r="E179" s="273">
        <v>346.14</v>
      </c>
      <c r="F179" s="212"/>
      <c r="G179" s="213"/>
      <c r="H179" s="156"/>
      <c r="I179" s="213"/>
      <c r="J179" s="213"/>
      <c r="K179" s="213"/>
      <c r="L179" s="212"/>
      <c r="M179" s="213"/>
      <c r="N179" s="213"/>
      <c r="O179" s="213"/>
      <c r="P179" s="214"/>
    </row>
    <row r="180" spans="1:69" x14ac:dyDescent="0.25">
      <c r="A180" s="144">
        <f>IF(COUNTBLANK(E180)=1," ",COUNTA($E$13:E180))</f>
        <v>152</v>
      </c>
      <c r="B180" s="222"/>
      <c r="C180" s="270" t="s">
        <v>137</v>
      </c>
      <c r="D180" s="221" t="s">
        <v>29</v>
      </c>
      <c r="E180" s="273">
        <v>346.14</v>
      </c>
      <c r="F180" s="212"/>
      <c r="G180" s="213"/>
      <c r="H180" s="156"/>
      <c r="I180" s="213"/>
      <c r="J180" s="213"/>
      <c r="K180" s="213"/>
      <c r="L180" s="212"/>
      <c r="M180" s="213"/>
      <c r="N180" s="213"/>
      <c r="O180" s="213"/>
      <c r="P180" s="214"/>
    </row>
    <row r="181" spans="1:69" ht="15.6" x14ac:dyDescent="0.25">
      <c r="A181" s="144" t="str">
        <f>IF(COUNTBLANK(E181)=1," ",COUNTA($E$13:E181))</f>
        <v xml:space="preserve"> </v>
      </c>
      <c r="B181" s="211"/>
      <c r="C181" s="217" t="s">
        <v>128</v>
      </c>
      <c r="D181" s="14"/>
      <c r="E181" s="14"/>
      <c r="F181" s="212"/>
      <c r="G181" s="213"/>
      <c r="H181" s="156"/>
      <c r="I181" s="213"/>
      <c r="J181" s="213"/>
      <c r="K181" s="213"/>
      <c r="L181" s="212"/>
      <c r="M181" s="213"/>
      <c r="N181" s="213"/>
      <c r="O181" s="213"/>
      <c r="P181" s="214"/>
    </row>
    <row r="182" spans="1:69" x14ac:dyDescent="0.25">
      <c r="A182" s="144">
        <f>IF(COUNTBLANK(E182)=1," ",COUNTA($E$13:E182))</f>
        <v>153</v>
      </c>
      <c r="B182" s="211"/>
      <c r="C182" s="270" t="s">
        <v>298</v>
      </c>
      <c r="D182" s="14" t="s">
        <v>75</v>
      </c>
      <c r="E182" s="14">
        <v>288</v>
      </c>
      <c r="F182" s="212"/>
      <c r="G182" s="213"/>
      <c r="H182" s="156"/>
      <c r="I182" s="213"/>
      <c r="J182" s="213"/>
      <c r="K182" s="213"/>
      <c r="L182" s="212"/>
      <c r="M182" s="213"/>
      <c r="N182" s="213"/>
      <c r="O182" s="213"/>
      <c r="P182" s="214"/>
    </row>
    <row r="183" spans="1:69" ht="26.4" x14ac:dyDescent="0.25">
      <c r="A183" s="144">
        <f>IF(COUNTBLANK(E183)=1," ",COUNTA($E$13:E183))</f>
        <v>154</v>
      </c>
      <c r="B183" s="222"/>
      <c r="C183" s="270" t="s">
        <v>284</v>
      </c>
      <c r="D183" s="221" t="s">
        <v>29</v>
      </c>
      <c r="E183" s="271">
        <f>(3+4)*(66.5-1.2*2)*2</f>
        <v>897.39999999999986</v>
      </c>
      <c r="F183" s="212"/>
      <c r="G183" s="213"/>
      <c r="H183" s="156"/>
      <c r="I183" s="213"/>
      <c r="J183" s="213"/>
      <c r="K183" s="213"/>
      <c r="L183" s="212"/>
      <c r="M183" s="213"/>
      <c r="N183" s="213"/>
      <c r="O183" s="213"/>
      <c r="P183" s="214"/>
    </row>
    <row r="184" spans="1:69" ht="26.4" x14ac:dyDescent="0.25">
      <c r="A184" s="144">
        <f>IF(COUNTBLANK(E184)=1," ",COUNTA($E$13:E184))</f>
        <v>155</v>
      </c>
      <c r="B184" s="222"/>
      <c r="C184" s="270" t="s">
        <v>149</v>
      </c>
      <c r="D184" s="221" t="s">
        <v>29</v>
      </c>
      <c r="E184" s="271">
        <f>(3+4)*(66.5-1.2*2)*2</f>
        <v>897.39999999999986</v>
      </c>
      <c r="F184" s="212"/>
      <c r="G184" s="213"/>
      <c r="H184" s="156"/>
      <c r="I184" s="213"/>
      <c r="J184" s="213"/>
      <c r="K184" s="213"/>
      <c r="L184" s="212"/>
      <c r="M184" s="213"/>
      <c r="N184" s="213"/>
      <c r="O184" s="213"/>
      <c r="P184" s="214"/>
    </row>
    <row r="185" spans="1:69" s="267" customFormat="1" ht="13.2" x14ac:dyDescent="0.2">
      <c r="A185" s="144">
        <f>IF(COUNTBLANK(E185)=1," ",COUNTA($E$13:E185))</f>
        <v>156</v>
      </c>
      <c r="B185" s="280"/>
      <c r="C185" s="272" t="s">
        <v>296</v>
      </c>
      <c r="D185" s="158" t="s">
        <v>95</v>
      </c>
      <c r="E185" s="233">
        <f>ROUND(E184*0.1*1.1,2)</f>
        <v>98.71</v>
      </c>
      <c r="F185" s="155"/>
      <c r="G185" s="155"/>
      <c r="H185" s="156"/>
      <c r="I185" s="156"/>
      <c r="J185" s="156"/>
      <c r="K185" s="149"/>
      <c r="L185" s="150"/>
      <c r="M185" s="149"/>
      <c r="N185" s="149"/>
      <c r="O185" s="149"/>
      <c r="P185" s="151"/>
      <c r="Q185" s="264"/>
      <c r="R185" s="264"/>
      <c r="S185" s="264"/>
      <c r="T185" s="265"/>
      <c r="U185" s="266"/>
      <c r="V185" s="266"/>
      <c r="W185" s="266"/>
      <c r="X185" s="266"/>
      <c r="Y185" s="266"/>
      <c r="Z185" s="266"/>
      <c r="AA185" s="266"/>
      <c r="AB185" s="266"/>
      <c r="AC185" s="266"/>
      <c r="AD185" s="266"/>
      <c r="AE185" s="266"/>
      <c r="AF185" s="266"/>
      <c r="AG185" s="266"/>
      <c r="AH185" s="266"/>
      <c r="AI185" s="266"/>
      <c r="AJ185" s="266"/>
      <c r="AK185" s="266"/>
      <c r="AL185" s="266"/>
      <c r="AM185" s="266"/>
      <c r="AN185" s="266"/>
      <c r="AO185" s="266"/>
      <c r="AP185" s="266"/>
      <c r="AQ185" s="266"/>
      <c r="AR185" s="266"/>
      <c r="AS185" s="266"/>
      <c r="AT185" s="266"/>
      <c r="AU185" s="266"/>
      <c r="AV185" s="266"/>
      <c r="AW185" s="266"/>
      <c r="AX185" s="266"/>
      <c r="AY185" s="266"/>
      <c r="AZ185" s="266"/>
      <c r="BA185" s="266"/>
      <c r="BB185" s="266"/>
      <c r="BC185" s="266"/>
      <c r="BD185" s="266"/>
      <c r="BE185" s="266"/>
      <c r="BF185" s="266"/>
      <c r="BG185" s="266"/>
      <c r="BH185" s="266"/>
      <c r="BI185" s="266"/>
      <c r="BJ185" s="266"/>
      <c r="BK185" s="266"/>
      <c r="BL185" s="266"/>
      <c r="BM185" s="266"/>
      <c r="BN185" s="266"/>
    </row>
    <row r="186" spans="1:69" s="267" customFormat="1" ht="13.2" x14ac:dyDescent="0.2">
      <c r="A186" s="144">
        <f>IF(COUNTBLANK(E186)=1," ",COUNTA($E$13:E186))</f>
        <v>157</v>
      </c>
      <c r="B186" s="280"/>
      <c r="C186" s="272" t="s">
        <v>291</v>
      </c>
      <c r="D186" s="158" t="s">
        <v>292</v>
      </c>
      <c r="E186" s="233">
        <f>ROUND(E185/8*1,2)</f>
        <v>12.34</v>
      </c>
      <c r="F186" s="155"/>
      <c r="G186" s="155"/>
      <c r="H186" s="156"/>
      <c r="I186" s="156"/>
      <c r="J186" s="156"/>
      <c r="K186" s="149"/>
      <c r="L186" s="150"/>
      <c r="M186" s="149"/>
      <c r="N186" s="149"/>
      <c r="O186" s="149"/>
      <c r="P186" s="151"/>
      <c r="Q186" s="264"/>
      <c r="R186" s="264"/>
      <c r="S186" s="264"/>
      <c r="T186" s="265"/>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266"/>
      <c r="AP186" s="266"/>
      <c r="AQ186" s="266"/>
      <c r="AR186" s="266"/>
      <c r="AS186" s="266"/>
      <c r="AT186" s="266"/>
      <c r="AU186" s="266"/>
      <c r="AV186" s="266"/>
      <c r="AW186" s="266"/>
      <c r="AX186" s="266"/>
      <c r="AY186" s="266"/>
      <c r="AZ186" s="266"/>
      <c r="BA186" s="266"/>
      <c r="BB186" s="266"/>
      <c r="BC186" s="266"/>
      <c r="BD186" s="266"/>
      <c r="BE186" s="266"/>
      <c r="BF186" s="266"/>
      <c r="BG186" s="266"/>
      <c r="BH186" s="266"/>
      <c r="BI186" s="266"/>
      <c r="BJ186" s="266"/>
      <c r="BK186" s="266"/>
      <c r="BL186" s="266"/>
      <c r="BM186" s="266"/>
      <c r="BN186" s="266"/>
    </row>
    <row r="187" spans="1:69" s="267" customFormat="1" ht="13.2" x14ac:dyDescent="0.2">
      <c r="A187" s="144">
        <f>IF(COUNTBLANK(E187)=1," ",COUNTA($E$13:E187))</f>
        <v>158</v>
      </c>
      <c r="B187" s="280"/>
      <c r="C187" s="272" t="s">
        <v>293</v>
      </c>
      <c r="D187" s="158" t="s">
        <v>292</v>
      </c>
      <c r="E187" s="233">
        <f>ROUND(E185/8*2,2)</f>
        <v>24.68</v>
      </c>
      <c r="F187" s="155"/>
      <c r="G187" s="155"/>
      <c r="H187" s="156"/>
      <c r="I187" s="156"/>
      <c r="J187" s="156"/>
      <c r="K187" s="149"/>
      <c r="L187" s="150"/>
      <c r="M187" s="149"/>
      <c r="N187" s="149"/>
      <c r="O187" s="149"/>
      <c r="P187" s="151"/>
      <c r="Q187" s="264"/>
      <c r="R187" s="264"/>
      <c r="S187" s="264"/>
      <c r="T187" s="265"/>
      <c r="U187" s="266"/>
      <c r="V187" s="266"/>
      <c r="W187" s="266"/>
      <c r="X187" s="266"/>
      <c r="Y187" s="266"/>
      <c r="Z187" s="266"/>
      <c r="AA187" s="266"/>
      <c r="AB187" s="266"/>
      <c r="AC187" s="266"/>
      <c r="AD187" s="266"/>
      <c r="AE187" s="266"/>
      <c r="AF187" s="266"/>
      <c r="AG187" s="266"/>
      <c r="AH187" s="266"/>
      <c r="AI187" s="266"/>
      <c r="AJ187" s="266"/>
      <c r="AK187" s="266"/>
      <c r="AL187" s="266"/>
      <c r="AM187" s="266"/>
      <c r="AN187" s="266"/>
      <c r="AO187" s="266"/>
      <c r="AP187" s="266"/>
      <c r="AQ187" s="266"/>
      <c r="AR187" s="266"/>
      <c r="AS187" s="266"/>
      <c r="AT187" s="266"/>
      <c r="AU187" s="266"/>
      <c r="AV187" s="266"/>
      <c r="AW187" s="266"/>
      <c r="AX187" s="266"/>
      <c r="AY187" s="266"/>
      <c r="AZ187" s="266"/>
      <c r="BA187" s="266"/>
      <c r="BB187" s="266"/>
      <c r="BC187" s="266"/>
      <c r="BD187" s="266"/>
      <c r="BE187" s="266"/>
      <c r="BF187" s="266"/>
      <c r="BG187" s="266"/>
      <c r="BH187" s="266"/>
      <c r="BI187" s="266"/>
      <c r="BJ187" s="266"/>
      <c r="BK187" s="266"/>
      <c r="BL187" s="266"/>
      <c r="BM187" s="266"/>
      <c r="BN187" s="266"/>
    </row>
    <row r="188" spans="1:69" s="267" customFormat="1" ht="13.2" x14ac:dyDescent="0.2">
      <c r="A188" s="144">
        <f>IF(COUNTBLANK(E188)=1," ",COUNTA($E$13:E188))</f>
        <v>159</v>
      </c>
      <c r="B188" s="280"/>
      <c r="C188" s="272" t="s">
        <v>273</v>
      </c>
      <c r="D188" s="154" t="s">
        <v>78</v>
      </c>
      <c r="E188" s="233">
        <v>1</v>
      </c>
      <c r="F188" s="155"/>
      <c r="G188" s="155"/>
      <c r="H188" s="156"/>
      <c r="I188" s="156"/>
      <c r="J188" s="156"/>
      <c r="K188" s="149"/>
      <c r="L188" s="150"/>
      <c r="M188" s="149"/>
      <c r="N188" s="149"/>
      <c r="O188" s="149"/>
      <c r="P188" s="151"/>
      <c r="Q188" s="264"/>
      <c r="R188" s="264"/>
      <c r="S188" s="264"/>
      <c r="T188" s="268"/>
      <c r="U188" s="268"/>
      <c r="V188" s="268"/>
      <c r="W188" s="266"/>
      <c r="X188" s="266"/>
      <c r="Y188" s="266"/>
      <c r="Z188" s="266"/>
      <c r="AA188" s="266"/>
      <c r="AB188" s="266"/>
      <c r="AC188" s="266"/>
      <c r="AD188" s="266"/>
      <c r="AE188" s="266"/>
      <c r="AF188" s="266"/>
      <c r="AG188" s="266"/>
      <c r="AH188" s="266"/>
      <c r="AI188" s="266"/>
      <c r="AJ188" s="266"/>
      <c r="AK188" s="266"/>
      <c r="AL188" s="266"/>
      <c r="AM188" s="266"/>
      <c r="AN188" s="266"/>
      <c r="AO188" s="266"/>
      <c r="AP188" s="266"/>
      <c r="AQ188" s="266"/>
      <c r="AR188" s="266"/>
      <c r="AS188" s="266"/>
      <c r="AT188" s="266"/>
      <c r="AU188" s="266"/>
      <c r="AV188" s="266"/>
      <c r="AW188" s="266"/>
      <c r="AX188" s="266"/>
      <c r="AY188" s="266"/>
      <c r="AZ188" s="266"/>
      <c r="BA188" s="266"/>
      <c r="BB188" s="266"/>
      <c r="BC188" s="266"/>
      <c r="BD188" s="266"/>
      <c r="BE188" s="266"/>
      <c r="BF188" s="266"/>
      <c r="BG188" s="266"/>
      <c r="BH188" s="266"/>
      <c r="BI188" s="266"/>
      <c r="BJ188" s="266"/>
      <c r="BK188" s="266"/>
      <c r="BL188" s="266"/>
      <c r="BM188" s="266"/>
      <c r="BN188" s="266"/>
      <c r="BO188" s="266"/>
      <c r="BP188" s="266"/>
      <c r="BQ188" s="266"/>
    </row>
    <row r="189" spans="1:69" x14ac:dyDescent="0.25">
      <c r="A189" s="144">
        <f>IF(COUNTBLANK(E189)=1," ",COUNTA($E$13:E189))</f>
        <v>160</v>
      </c>
      <c r="B189" s="222"/>
      <c r="C189" s="270" t="s">
        <v>138</v>
      </c>
      <c r="D189" s="221" t="s">
        <v>29</v>
      </c>
      <c r="E189" s="271">
        <f t="shared" ref="E189:E195" si="12">(3+4)*(66.5-1.2*2)*2</f>
        <v>897.39999999999986</v>
      </c>
      <c r="F189" s="212"/>
      <c r="G189" s="213"/>
      <c r="H189" s="156"/>
      <c r="I189" s="213"/>
      <c r="J189" s="213"/>
      <c r="K189" s="213"/>
      <c r="L189" s="212"/>
      <c r="M189" s="213"/>
      <c r="N189" s="213"/>
      <c r="O189" s="213"/>
      <c r="P189" s="214"/>
    </row>
    <row r="190" spans="1:69" s="45" customFormat="1" ht="26.4" x14ac:dyDescent="0.25">
      <c r="A190" s="144">
        <f>IF(COUNTBLANK(E190)=1," ",COUNTA($E$13:E190))</f>
        <v>161</v>
      </c>
      <c r="B190" s="215"/>
      <c r="C190" s="272" t="s">
        <v>294</v>
      </c>
      <c r="D190" s="154" t="s">
        <v>29</v>
      </c>
      <c r="E190" s="234">
        <f>E189*1.15</f>
        <v>1032.0099999999998</v>
      </c>
      <c r="F190" s="155"/>
      <c r="G190" s="155"/>
      <c r="H190" s="156"/>
      <c r="I190" s="156"/>
      <c r="J190" s="156"/>
      <c r="K190" s="149"/>
      <c r="L190" s="150"/>
      <c r="M190" s="149"/>
      <c r="N190" s="149"/>
      <c r="O190" s="149"/>
      <c r="P190" s="151"/>
    </row>
    <row r="191" spans="1:69" s="45" customFormat="1" ht="26.4" x14ac:dyDescent="0.25">
      <c r="A191" s="144">
        <f>IF(COUNTBLANK(E191)=1," ",COUNTA($E$13:E191))</f>
        <v>162</v>
      </c>
      <c r="B191" s="215"/>
      <c r="C191" s="272" t="s">
        <v>295</v>
      </c>
      <c r="D191" s="154" t="s">
        <v>78</v>
      </c>
      <c r="E191" s="234">
        <v>1</v>
      </c>
      <c r="F191" s="155"/>
      <c r="G191" s="155"/>
      <c r="H191" s="156"/>
      <c r="I191" s="156"/>
      <c r="J191" s="156"/>
      <c r="K191" s="149"/>
      <c r="L191" s="150"/>
      <c r="M191" s="149"/>
      <c r="N191" s="149"/>
      <c r="O191" s="149"/>
      <c r="P191" s="151"/>
    </row>
    <row r="192" spans="1:69" x14ac:dyDescent="0.25">
      <c r="A192" s="144">
        <f>IF(COUNTBLANK(E192)=1," ",COUNTA($E$13:E192))</f>
        <v>163</v>
      </c>
      <c r="B192" s="222"/>
      <c r="C192" s="270" t="s">
        <v>134</v>
      </c>
      <c r="D192" s="221" t="s">
        <v>29</v>
      </c>
      <c r="E192" s="271">
        <f t="shared" si="12"/>
        <v>897.39999999999986</v>
      </c>
      <c r="F192" s="212"/>
      <c r="G192" s="213"/>
      <c r="H192" s="156"/>
      <c r="I192" s="213"/>
      <c r="J192" s="213"/>
      <c r="K192" s="213"/>
      <c r="L192" s="212"/>
      <c r="M192" s="213"/>
      <c r="N192" s="213"/>
      <c r="O192" s="213"/>
      <c r="P192" s="214"/>
    </row>
    <row r="193" spans="1:69" x14ac:dyDescent="0.25">
      <c r="A193" s="144">
        <f>IF(COUNTBLANK(E193)=1," ",COUNTA($E$13:E193))</f>
        <v>164</v>
      </c>
      <c r="B193" s="222"/>
      <c r="C193" s="270" t="s">
        <v>135</v>
      </c>
      <c r="D193" s="221" t="s">
        <v>29</v>
      </c>
      <c r="E193" s="271">
        <f t="shared" si="12"/>
        <v>897.39999999999986</v>
      </c>
      <c r="F193" s="212"/>
      <c r="G193" s="213"/>
      <c r="H193" s="156"/>
      <c r="I193" s="213"/>
      <c r="J193" s="213"/>
      <c r="K193" s="213"/>
      <c r="L193" s="212"/>
      <c r="M193" s="213"/>
      <c r="N193" s="213"/>
      <c r="O193" s="213"/>
      <c r="P193" s="214"/>
    </row>
    <row r="194" spans="1:69" x14ac:dyDescent="0.25">
      <c r="A194" s="144">
        <f>IF(COUNTBLANK(E194)=1," ",COUNTA($E$13:E194))</f>
        <v>165</v>
      </c>
      <c r="B194" s="222"/>
      <c r="C194" s="270" t="s">
        <v>136</v>
      </c>
      <c r="D194" s="221" t="s">
        <v>29</v>
      </c>
      <c r="E194" s="271">
        <f t="shared" si="12"/>
        <v>897.39999999999986</v>
      </c>
      <c r="F194" s="212"/>
      <c r="G194" s="213"/>
      <c r="H194" s="156"/>
      <c r="I194" s="213"/>
      <c r="J194" s="213"/>
      <c r="K194" s="213"/>
      <c r="L194" s="212"/>
      <c r="M194" s="213"/>
      <c r="N194" s="213"/>
      <c r="O194" s="213"/>
      <c r="P194" s="214"/>
    </row>
    <row r="195" spans="1:69" x14ac:dyDescent="0.25">
      <c r="A195" s="144">
        <f>IF(COUNTBLANK(E195)=1," ",COUNTA($E$13:E195))</f>
        <v>166</v>
      </c>
      <c r="B195" s="222"/>
      <c r="C195" s="270" t="s">
        <v>137</v>
      </c>
      <c r="D195" s="221" t="s">
        <v>29</v>
      </c>
      <c r="E195" s="271">
        <f t="shared" si="12"/>
        <v>897.39999999999986</v>
      </c>
      <c r="F195" s="212"/>
      <c r="G195" s="213"/>
      <c r="H195" s="156"/>
      <c r="I195" s="213"/>
      <c r="J195" s="213"/>
      <c r="K195" s="213"/>
      <c r="L195" s="212"/>
      <c r="M195" s="213"/>
      <c r="N195" s="213"/>
      <c r="O195" s="213"/>
      <c r="P195" s="214"/>
    </row>
    <row r="196" spans="1:69" ht="15.6" x14ac:dyDescent="0.25">
      <c r="A196" s="144" t="str">
        <f>IF(COUNTBLANK(E196)=1," ",COUNTA($E$13:E196))</f>
        <v xml:space="preserve"> </v>
      </c>
      <c r="B196" s="222"/>
      <c r="C196" s="217" t="s">
        <v>278</v>
      </c>
      <c r="D196" s="14"/>
      <c r="E196" s="14"/>
      <c r="F196" s="212"/>
      <c r="G196" s="213"/>
      <c r="H196" s="156"/>
      <c r="I196" s="213"/>
      <c r="J196" s="213"/>
      <c r="K196" s="213"/>
      <c r="L196" s="212"/>
      <c r="M196" s="213"/>
      <c r="N196" s="213"/>
      <c r="O196" s="213"/>
      <c r="P196" s="214"/>
    </row>
    <row r="197" spans="1:69" x14ac:dyDescent="0.25">
      <c r="A197" s="144">
        <f>IF(COUNTBLANK(E197)=1," ",COUNTA($E$13:E197))</f>
        <v>167</v>
      </c>
      <c r="B197" s="222"/>
      <c r="C197" s="270" t="s">
        <v>130</v>
      </c>
      <c r="D197" s="221" t="s">
        <v>29</v>
      </c>
      <c r="E197" s="271">
        <v>86.4</v>
      </c>
      <c r="F197" s="212"/>
      <c r="G197" s="213"/>
      <c r="H197" s="156"/>
      <c r="I197" s="213"/>
      <c r="J197" s="213"/>
      <c r="K197" s="213"/>
      <c r="L197" s="212"/>
      <c r="M197" s="213"/>
      <c r="N197" s="213"/>
      <c r="O197" s="213"/>
      <c r="P197" s="214"/>
    </row>
    <row r="198" spans="1:69" ht="26.4" x14ac:dyDescent="0.25">
      <c r="A198" s="144">
        <f>IF(COUNTBLANK(E198)=1," ",COUNTA($E$13:E198))</f>
        <v>168</v>
      </c>
      <c r="B198" s="222"/>
      <c r="C198" s="270" t="s">
        <v>266</v>
      </c>
      <c r="D198" s="221" t="s">
        <v>29</v>
      </c>
      <c r="E198" s="271">
        <v>86.4</v>
      </c>
      <c r="F198" s="212"/>
      <c r="G198" s="213"/>
      <c r="H198" s="156"/>
      <c r="I198" s="213"/>
      <c r="J198" s="213"/>
      <c r="K198" s="213"/>
      <c r="L198" s="212"/>
      <c r="M198" s="213"/>
      <c r="N198" s="213"/>
      <c r="O198" s="213"/>
      <c r="P198" s="214"/>
    </row>
    <row r="199" spans="1:69" s="267" customFormat="1" ht="13.2" x14ac:dyDescent="0.2">
      <c r="A199" s="144">
        <f>IF(COUNTBLANK(E199)=1," ",COUNTA($E$13:E199))</f>
        <v>169</v>
      </c>
      <c r="B199" s="280"/>
      <c r="C199" s="272" t="s">
        <v>297</v>
      </c>
      <c r="D199" s="158" t="s">
        <v>95</v>
      </c>
      <c r="E199" s="233">
        <f>ROUND(E198*0.12*1.1,2)</f>
        <v>11.4</v>
      </c>
      <c r="F199" s="155"/>
      <c r="G199" s="155"/>
      <c r="H199" s="156"/>
      <c r="I199" s="156"/>
      <c r="J199" s="156"/>
      <c r="K199" s="149"/>
      <c r="L199" s="150"/>
      <c r="M199" s="149"/>
      <c r="N199" s="149"/>
      <c r="O199" s="149"/>
      <c r="P199" s="151"/>
      <c r="Q199" s="264"/>
      <c r="R199" s="264"/>
      <c r="S199" s="264"/>
      <c r="T199" s="265"/>
      <c r="U199" s="266"/>
      <c r="V199" s="266"/>
      <c r="W199" s="266"/>
      <c r="X199" s="266"/>
      <c r="Y199" s="266"/>
      <c r="Z199" s="266"/>
      <c r="AA199" s="266"/>
      <c r="AB199" s="266"/>
      <c r="AC199" s="266"/>
      <c r="AD199" s="266"/>
      <c r="AE199" s="266"/>
      <c r="AF199" s="266"/>
      <c r="AG199" s="266"/>
      <c r="AH199" s="266"/>
      <c r="AI199" s="266"/>
      <c r="AJ199" s="266"/>
      <c r="AK199" s="266"/>
      <c r="AL199" s="266"/>
      <c r="AM199" s="266"/>
      <c r="AN199" s="266"/>
      <c r="AO199" s="266"/>
      <c r="AP199" s="266"/>
      <c r="AQ199" s="266"/>
      <c r="AR199" s="266"/>
      <c r="AS199" s="266"/>
      <c r="AT199" s="266"/>
      <c r="AU199" s="266"/>
      <c r="AV199" s="266"/>
      <c r="AW199" s="266"/>
      <c r="AX199" s="266"/>
      <c r="AY199" s="266"/>
      <c r="AZ199" s="266"/>
      <c r="BA199" s="266"/>
      <c r="BB199" s="266"/>
      <c r="BC199" s="266"/>
      <c r="BD199" s="266"/>
      <c r="BE199" s="266"/>
      <c r="BF199" s="266"/>
      <c r="BG199" s="266"/>
      <c r="BH199" s="266"/>
      <c r="BI199" s="266"/>
      <c r="BJ199" s="266"/>
      <c r="BK199" s="266"/>
      <c r="BL199" s="266"/>
      <c r="BM199" s="266"/>
      <c r="BN199" s="266"/>
    </row>
    <row r="200" spans="1:69" s="267" customFormat="1" ht="13.2" x14ac:dyDescent="0.2">
      <c r="A200" s="144">
        <f>IF(COUNTBLANK(E200)=1," ",COUNTA($E$13:E200))</f>
        <v>170</v>
      </c>
      <c r="B200" s="280"/>
      <c r="C200" s="272" t="s">
        <v>291</v>
      </c>
      <c r="D200" s="158" t="s">
        <v>292</v>
      </c>
      <c r="E200" s="233">
        <f>ROUND(E199/8*1,2)</f>
        <v>1.43</v>
      </c>
      <c r="F200" s="155"/>
      <c r="G200" s="155"/>
      <c r="H200" s="156"/>
      <c r="I200" s="156"/>
      <c r="J200" s="156"/>
      <c r="K200" s="149"/>
      <c r="L200" s="150"/>
      <c r="M200" s="149"/>
      <c r="N200" s="149"/>
      <c r="O200" s="149"/>
      <c r="P200" s="151"/>
      <c r="Q200" s="264"/>
      <c r="R200" s="264"/>
      <c r="S200" s="264"/>
      <c r="T200" s="265"/>
      <c r="U200" s="266"/>
      <c r="V200" s="266"/>
      <c r="W200" s="266"/>
      <c r="X200" s="266"/>
      <c r="Y200" s="266"/>
      <c r="Z200" s="266"/>
      <c r="AA200" s="266"/>
      <c r="AB200" s="266"/>
      <c r="AC200" s="266"/>
      <c r="AD200" s="266"/>
      <c r="AE200" s="266"/>
      <c r="AF200" s="266"/>
      <c r="AG200" s="266"/>
      <c r="AH200" s="266"/>
      <c r="AI200" s="266"/>
      <c r="AJ200" s="266"/>
      <c r="AK200" s="266"/>
      <c r="AL200" s="266"/>
      <c r="AM200" s="266"/>
      <c r="AN200" s="266"/>
      <c r="AO200" s="266"/>
      <c r="AP200" s="266"/>
      <c r="AQ200" s="266"/>
      <c r="AR200" s="266"/>
      <c r="AS200" s="266"/>
      <c r="AT200" s="266"/>
      <c r="AU200" s="266"/>
      <c r="AV200" s="266"/>
      <c r="AW200" s="266"/>
      <c r="AX200" s="266"/>
      <c r="AY200" s="266"/>
      <c r="AZ200" s="266"/>
      <c r="BA200" s="266"/>
      <c r="BB200" s="266"/>
      <c r="BC200" s="266"/>
      <c r="BD200" s="266"/>
      <c r="BE200" s="266"/>
      <c r="BF200" s="266"/>
      <c r="BG200" s="266"/>
      <c r="BH200" s="266"/>
      <c r="BI200" s="266"/>
      <c r="BJ200" s="266"/>
      <c r="BK200" s="266"/>
      <c r="BL200" s="266"/>
      <c r="BM200" s="266"/>
      <c r="BN200" s="266"/>
    </row>
    <row r="201" spans="1:69" s="267" customFormat="1" ht="13.2" x14ac:dyDescent="0.2">
      <c r="A201" s="144">
        <f>IF(COUNTBLANK(E201)=1," ",COUNTA($E$13:E201))</f>
        <v>171</v>
      </c>
      <c r="B201" s="280"/>
      <c r="C201" s="272" t="s">
        <v>293</v>
      </c>
      <c r="D201" s="158" t="s">
        <v>292</v>
      </c>
      <c r="E201" s="233">
        <f>ROUND(E199/8*2,2)</f>
        <v>2.85</v>
      </c>
      <c r="F201" s="155"/>
      <c r="G201" s="155"/>
      <c r="H201" s="156"/>
      <c r="I201" s="156"/>
      <c r="J201" s="156"/>
      <c r="K201" s="149"/>
      <c r="L201" s="150"/>
      <c r="M201" s="149"/>
      <c r="N201" s="149"/>
      <c r="O201" s="149"/>
      <c r="P201" s="151"/>
      <c r="Q201" s="264"/>
      <c r="R201" s="264"/>
      <c r="S201" s="264"/>
      <c r="T201" s="265"/>
      <c r="U201" s="266"/>
      <c r="V201" s="266"/>
      <c r="W201" s="266"/>
      <c r="X201" s="266"/>
      <c r="Y201" s="266"/>
      <c r="Z201" s="266"/>
      <c r="AA201" s="266"/>
      <c r="AB201" s="266"/>
      <c r="AC201" s="266"/>
      <c r="AD201" s="266"/>
      <c r="AE201" s="266"/>
      <c r="AF201" s="266"/>
      <c r="AG201" s="266"/>
      <c r="AH201" s="266"/>
      <c r="AI201" s="266"/>
      <c r="AJ201" s="266"/>
      <c r="AK201" s="266"/>
      <c r="AL201" s="266"/>
      <c r="AM201" s="266"/>
      <c r="AN201" s="266"/>
      <c r="AO201" s="266"/>
      <c r="AP201" s="266"/>
      <c r="AQ201" s="266"/>
      <c r="AR201" s="266"/>
      <c r="AS201" s="266"/>
      <c r="AT201" s="266"/>
      <c r="AU201" s="266"/>
      <c r="AV201" s="266"/>
      <c r="AW201" s="266"/>
      <c r="AX201" s="266"/>
      <c r="AY201" s="266"/>
      <c r="AZ201" s="266"/>
      <c r="BA201" s="266"/>
      <c r="BB201" s="266"/>
      <c r="BC201" s="266"/>
      <c r="BD201" s="266"/>
      <c r="BE201" s="266"/>
      <c r="BF201" s="266"/>
      <c r="BG201" s="266"/>
      <c r="BH201" s="266"/>
      <c r="BI201" s="266"/>
      <c r="BJ201" s="266"/>
      <c r="BK201" s="266"/>
      <c r="BL201" s="266"/>
      <c r="BM201" s="266"/>
      <c r="BN201" s="266"/>
    </row>
    <row r="202" spans="1:69" s="267" customFormat="1" ht="13.2" x14ac:dyDescent="0.2">
      <c r="A202" s="144">
        <f>IF(COUNTBLANK(E202)=1," ",COUNTA($E$13:E202))</f>
        <v>172</v>
      </c>
      <c r="B202" s="280"/>
      <c r="C202" s="272" t="s">
        <v>273</v>
      </c>
      <c r="D202" s="154" t="s">
        <v>78</v>
      </c>
      <c r="E202" s="233">
        <v>1</v>
      </c>
      <c r="F202" s="155"/>
      <c r="G202" s="155"/>
      <c r="H202" s="156"/>
      <c r="I202" s="156"/>
      <c r="J202" s="156"/>
      <c r="K202" s="149"/>
      <c r="L202" s="150"/>
      <c r="M202" s="149"/>
      <c r="N202" s="149"/>
      <c r="O202" s="149"/>
      <c r="P202" s="151"/>
      <c r="Q202" s="264"/>
      <c r="R202" s="264"/>
      <c r="S202" s="264"/>
      <c r="T202" s="268"/>
      <c r="U202" s="268"/>
      <c r="V202" s="268"/>
      <c r="W202" s="266"/>
      <c r="X202" s="266"/>
      <c r="Y202" s="266"/>
      <c r="Z202" s="266"/>
      <c r="AA202" s="266"/>
      <c r="AB202" s="266"/>
      <c r="AC202" s="266"/>
      <c r="AD202" s="266"/>
      <c r="AE202" s="266"/>
      <c r="AF202" s="266"/>
      <c r="AG202" s="266"/>
      <c r="AH202" s="266"/>
      <c r="AI202" s="266"/>
      <c r="AJ202" s="266"/>
      <c r="AK202" s="266"/>
      <c r="AL202" s="266"/>
      <c r="AM202" s="266"/>
      <c r="AN202" s="266"/>
      <c r="AO202" s="266"/>
      <c r="AP202" s="266"/>
      <c r="AQ202" s="266"/>
      <c r="AR202" s="266"/>
      <c r="AS202" s="266"/>
      <c r="AT202" s="266"/>
      <c r="AU202" s="266"/>
      <c r="AV202" s="266"/>
      <c r="AW202" s="266"/>
      <c r="AX202" s="266"/>
      <c r="AY202" s="266"/>
      <c r="AZ202" s="266"/>
      <c r="BA202" s="266"/>
      <c r="BB202" s="266"/>
      <c r="BC202" s="266"/>
      <c r="BD202" s="266"/>
      <c r="BE202" s="266"/>
      <c r="BF202" s="266"/>
      <c r="BG202" s="266"/>
      <c r="BH202" s="266"/>
      <c r="BI202" s="266"/>
      <c r="BJ202" s="266"/>
      <c r="BK202" s="266"/>
      <c r="BL202" s="266"/>
      <c r="BM202" s="266"/>
      <c r="BN202" s="266"/>
      <c r="BO202" s="266"/>
      <c r="BP202" s="266"/>
      <c r="BQ202" s="266"/>
    </row>
    <row r="203" spans="1:69" x14ac:dyDescent="0.25">
      <c r="A203" s="144">
        <f>IF(COUNTBLANK(E203)=1," ",COUNTA($E$13:E203))</f>
        <v>173</v>
      </c>
      <c r="B203" s="222"/>
      <c r="C203" s="270" t="s">
        <v>133</v>
      </c>
      <c r="D203" s="221" t="s">
        <v>29</v>
      </c>
      <c r="E203" s="271">
        <v>86.4</v>
      </c>
      <c r="F203" s="212"/>
      <c r="G203" s="213"/>
      <c r="H203" s="156"/>
      <c r="I203" s="213"/>
      <c r="J203" s="213"/>
      <c r="K203" s="213"/>
      <c r="L203" s="212"/>
      <c r="M203" s="213"/>
      <c r="N203" s="213"/>
      <c r="O203" s="213"/>
      <c r="P203" s="214"/>
    </row>
    <row r="204" spans="1:69" s="45" customFormat="1" ht="26.4" x14ac:dyDescent="0.25">
      <c r="A204" s="144">
        <f>IF(COUNTBLANK(E204)=1," ",COUNTA($E$13:E204))</f>
        <v>174</v>
      </c>
      <c r="B204" s="215"/>
      <c r="C204" s="272" t="s">
        <v>294</v>
      </c>
      <c r="D204" s="154" t="s">
        <v>29</v>
      </c>
      <c r="E204" s="234">
        <f>E203*1.15</f>
        <v>99.36</v>
      </c>
      <c r="F204" s="155"/>
      <c r="G204" s="155"/>
      <c r="H204" s="156"/>
      <c r="I204" s="156"/>
      <c r="J204" s="156"/>
      <c r="K204" s="149"/>
      <c r="L204" s="150"/>
      <c r="M204" s="149"/>
      <c r="N204" s="149"/>
      <c r="O204" s="149"/>
      <c r="P204" s="151"/>
    </row>
    <row r="205" spans="1:69" s="45" customFormat="1" ht="26.4" x14ac:dyDescent="0.25">
      <c r="A205" s="144">
        <f>IF(COUNTBLANK(E205)=1," ",COUNTA($E$13:E205))</f>
        <v>175</v>
      </c>
      <c r="B205" s="215"/>
      <c r="C205" s="272" t="s">
        <v>295</v>
      </c>
      <c r="D205" s="154" t="s">
        <v>78</v>
      </c>
      <c r="E205" s="234">
        <v>1</v>
      </c>
      <c r="F205" s="155"/>
      <c r="G205" s="155"/>
      <c r="H205" s="156"/>
      <c r="I205" s="156"/>
      <c r="J205" s="156"/>
      <c r="K205" s="149"/>
      <c r="L205" s="150"/>
      <c r="M205" s="149"/>
      <c r="N205" s="149"/>
      <c r="O205" s="149"/>
      <c r="P205" s="151"/>
    </row>
    <row r="206" spans="1:69" x14ac:dyDescent="0.25">
      <c r="A206" s="144">
        <f>IF(COUNTBLANK(E206)=1," ",COUNTA($E$13:E206))</f>
        <v>176</v>
      </c>
      <c r="B206" s="222"/>
      <c r="C206" s="270" t="s">
        <v>134</v>
      </c>
      <c r="D206" s="221" t="s">
        <v>29</v>
      </c>
      <c r="E206" s="271">
        <v>86.4</v>
      </c>
      <c r="F206" s="212"/>
      <c r="G206" s="213"/>
      <c r="H206" s="156"/>
      <c r="I206" s="213"/>
      <c r="J206" s="213"/>
      <c r="K206" s="213"/>
      <c r="L206" s="212"/>
      <c r="M206" s="213"/>
      <c r="N206" s="213"/>
      <c r="O206" s="213"/>
      <c r="P206" s="214"/>
    </row>
    <row r="207" spans="1:69" x14ac:dyDescent="0.25">
      <c r="A207" s="144">
        <f>IF(COUNTBLANK(E207)=1," ",COUNTA($E$13:E207))</f>
        <v>177</v>
      </c>
      <c r="B207" s="222"/>
      <c r="C207" s="270" t="s">
        <v>135</v>
      </c>
      <c r="D207" s="221" t="s">
        <v>29</v>
      </c>
      <c r="E207" s="271">
        <v>86.4</v>
      </c>
      <c r="F207" s="212"/>
      <c r="G207" s="213"/>
      <c r="H207" s="156"/>
      <c r="I207" s="213"/>
      <c r="J207" s="213"/>
      <c r="K207" s="213"/>
      <c r="L207" s="212"/>
      <c r="M207" s="213"/>
      <c r="N207" s="213"/>
      <c r="O207" s="213"/>
      <c r="P207" s="214"/>
    </row>
    <row r="208" spans="1:69" x14ac:dyDescent="0.25">
      <c r="A208" s="144">
        <f>IF(COUNTBLANK(E208)=1," ",COUNTA($E$13:E208))</f>
        <v>178</v>
      </c>
      <c r="B208" s="222"/>
      <c r="C208" s="270" t="s">
        <v>136</v>
      </c>
      <c r="D208" s="221" t="s">
        <v>29</v>
      </c>
      <c r="E208" s="271">
        <v>86.4</v>
      </c>
      <c r="F208" s="212"/>
      <c r="G208" s="213"/>
      <c r="H208" s="156"/>
      <c r="I208" s="213"/>
      <c r="J208" s="213"/>
      <c r="K208" s="213"/>
      <c r="L208" s="212"/>
      <c r="M208" s="213"/>
      <c r="N208" s="213"/>
      <c r="O208" s="213"/>
      <c r="P208" s="214"/>
    </row>
    <row r="209" spans="1:69" x14ac:dyDescent="0.25">
      <c r="A209" s="144">
        <f>IF(COUNTBLANK(E209)=1," ",COUNTA($E$13:E209))</f>
        <v>179</v>
      </c>
      <c r="B209" s="222"/>
      <c r="C209" s="270" t="s">
        <v>137</v>
      </c>
      <c r="D209" s="221" t="s">
        <v>29</v>
      </c>
      <c r="E209" s="271">
        <v>86.4</v>
      </c>
      <c r="F209" s="212"/>
      <c r="G209" s="213"/>
      <c r="H209" s="156"/>
      <c r="I209" s="213"/>
      <c r="J209" s="213"/>
      <c r="K209" s="213"/>
      <c r="L209" s="212"/>
      <c r="M209" s="213"/>
      <c r="N209" s="213"/>
      <c r="O209" s="213"/>
      <c r="P209" s="214"/>
    </row>
    <row r="210" spans="1:69" ht="15.6" x14ac:dyDescent="0.25">
      <c r="A210" s="144" t="str">
        <f>IF(COUNTBLANK(E210)=1," ",COUNTA($E$13:E210))</f>
        <v xml:space="preserve"> </v>
      </c>
      <c r="B210" s="211"/>
      <c r="C210" s="217" t="s">
        <v>129</v>
      </c>
      <c r="D210" s="14"/>
      <c r="E210" s="14"/>
      <c r="F210" s="212"/>
      <c r="G210" s="213"/>
      <c r="H210" s="156"/>
      <c r="I210" s="213"/>
      <c r="J210" s="213"/>
      <c r="K210" s="213"/>
      <c r="L210" s="212"/>
      <c r="M210" s="213"/>
      <c r="N210" s="213"/>
      <c r="O210" s="213"/>
      <c r="P210" s="214"/>
    </row>
    <row r="211" spans="1:69" x14ac:dyDescent="0.25">
      <c r="A211" s="144">
        <f>IF(COUNTBLANK(E211)=1," ",COUNTA($E$13:E211))</f>
        <v>180</v>
      </c>
      <c r="B211" s="222"/>
      <c r="C211" s="270" t="s">
        <v>130</v>
      </c>
      <c r="D211" s="221" t="s">
        <v>29</v>
      </c>
      <c r="E211" s="271">
        <v>899.32</v>
      </c>
      <c r="F211" s="212"/>
      <c r="G211" s="213"/>
      <c r="H211" s="156"/>
      <c r="I211" s="213"/>
      <c r="J211" s="213"/>
      <c r="K211" s="213"/>
      <c r="L211" s="212"/>
      <c r="M211" s="213"/>
      <c r="N211" s="213"/>
      <c r="O211" s="213"/>
      <c r="P211" s="214"/>
    </row>
    <row r="212" spans="1:69" ht="26.4" x14ac:dyDescent="0.25">
      <c r="A212" s="144">
        <f>IF(COUNTBLANK(E212)=1," ",COUNTA($E$13:E212))</f>
        <v>181</v>
      </c>
      <c r="B212" s="222"/>
      <c r="C212" s="270" t="s">
        <v>148</v>
      </c>
      <c r="D212" s="221" t="s">
        <v>29</v>
      </c>
      <c r="E212" s="271">
        <v>899.32</v>
      </c>
      <c r="F212" s="212"/>
      <c r="G212" s="213"/>
      <c r="H212" s="156"/>
      <c r="I212" s="213"/>
      <c r="J212" s="213"/>
      <c r="K212" s="213"/>
      <c r="L212" s="212"/>
      <c r="M212" s="213"/>
      <c r="N212" s="213"/>
      <c r="O212" s="213"/>
      <c r="P212" s="214"/>
    </row>
    <row r="213" spans="1:69" s="267" customFormat="1" ht="13.2" x14ac:dyDescent="0.2">
      <c r="A213" s="144">
        <f>IF(COUNTBLANK(E213)=1," ",COUNTA($E$13:E213))</f>
        <v>182</v>
      </c>
      <c r="B213" s="280"/>
      <c r="C213" s="272" t="s">
        <v>297</v>
      </c>
      <c r="D213" s="158" t="s">
        <v>95</v>
      </c>
      <c r="E213" s="233">
        <f>ROUND(E212*0.08*1.1,2)</f>
        <v>79.14</v>
      </c>
      <c r="F213" s="155"/>
      <c r="G213" s="155"/>
      <c r="H213" s="156"/>
      <c r="I213" s="156"/>
      <c r="J213" s="156"/>
      <c r="K213" s="149"/>
      <c r="L213" s="150"/>
      <c r="M213" s="149"/>
      <c r="N213" s="149"/>
      <c r="O213" s="149"/>
      <c r="P213" s="151"/>
      <c r="Q213" s="264"/>
      <c r="R213" s="264"/>
      <c r="S213" s="264"/>
      <c r="T213" s="265"/>
      <c r="U213" s="266"/>
      <c r="V213" s="266"/>
      <c r="W213" s="266"/>
      <c r="X213" s="266"/>
      <c r="Y213" s="266"/>
      <c r="Z213" s="266"/>
      <c r="AA213" s="266"/>
      <c r="AB213" s="266"/>
      <c r="AC213" s="266"/>
      <c r="AD213" s="266"/>
      <c r="AE213" s="266"/>
      <c r="AF213" s="266"/>
      <c r="AG213" s="266"/>
      <c r="AH213" s="266"/>
      <c r="AI213" s="266"/>
      <c r="AJ213" s="266"/>
      <c r="AK213" s="266"/>
      <c r="AL213" s="266"/>
      <c r="AM213" s="266"/>
      <c r="AN213" s="266"/>
      <c r="AO213" s="266"/>
      <c r="AP213" s="266"/>
      <c r="AQ213" s="266"/>
      <c r="AR213" s="266"/>
      <c r="AS213" s="266"/>
      <c r="AT213" s="266"/>
      <c r="AU213" s="266"/>
      <c r="AV213" s="266"/>
      <c r="AW213" s="266"/>
      <c r="AX213" s="266"/>
      <c r="AY213" s="266"/>
      <c r="AZ213" s="266"/>
      <c r="BA213" s="266"/>
      <c r="BB213" s="266"/>
      <c r="BC213" s="266"/>
      <c r="BD213" s="266"/>
      <c r="BE213" s="266"/>
      <c r="BF213" s="266"/>
      <c r="BG213" s="266"/>
      <c r="BH213" s="266"/>
      <c r="BI213" s="266"/>
      <c r="BJ213" s="266"/>
      <c r="BK213" s="266"/>
      <c r="BL213" s="266"/>
      <c r="BM213" s="266"/>
      <c r="BN213" s="266"/>
    </row>
    <row r="214" spans="1:69" s="267" customFormat="1" ht="13.2" x14ac:dyDescent="0.2">
      <c r="A214" s="144">
        <f>IF(COUNTBLANK(E214)=1," ",COUNTA($E$13:E214))</f>
        <v>183</v>
      </c>
      <c r="B214" s="280"/>
      <c r="C214" s="272" t="s">
        <v>291</v>
      </c>
      <c r="D214" s="158" t="s">
        <v>292</v>
      </c>
      <c r="E214" s="233">
        <f>ROUND(E213/8*1,2)</f>
        <v>9.89</v>
      </c>
      <c r="F214" s="155"/>
      <c r="G214" s="155"/>
      <c r="H214" s="156"/>
      <c r="I214" s="156"/>
      <c r="J214" s="156"/>
      <c r="K214" s="149"/>
      <c r="L214" s="150"/>
      <c r="M214" s="149"/>
      <c r="N214" s="149"/>
      <c r="O214" s="149"/>
      <c r="P214" s="151"/>
      <c r="Q214" s="264"/>
      <c r="R214" s="264"/>
      <c r="S214" s="264"/>
      <c r="T214" s="265"/>
      <c r="U214" s="266"/>
      <c r="V214" s="266"/>
      <c r="W214" s="266"/>
      <c r="X214" s="266"/>
      <c r="Y214" s="266"/>
      <c r="Z214" s="266"/>
      <c r="AA214" s="266"/>
      <c r="AB214" s="266"/>
      <c r="AC214" s="266"/>
      <c r="AD214" s="266"/>
      <c r="AE214" s="266"/>
      <c r="AF214" s="266"/>
      <c r="AG214" s="266"/>
      <c r="AH214" s="266"/>
      <c r="AI214" s="266"/>
      <c r="AJ214" s="266"/>
      <c r="AK214" s="266"/>
      <c r="AL214" s="266"/>
      <c r="AM214" s="266"/>
      <c r="AN214" s="266"/>
      <c r="AO214" s="266"/>
      <c r="AP214" s="266"/>
      <c r="AQ214" s="266"/>
      <c r="AR214" s="266"/>
      <c r="AS214" s="266"/>
      <c r="AT214" s="266"/>
      <c r="AU214" s="266"/>
      <c r="AV214" s="266"/>
      <c r="AW214" s="266"/>
      <c r="AX214" s="266"/>
      <c r="AY214" s="266"/>
      <c r="AZ214" s="266"/>
      <c r="BA214" s="266"/>
      <c r="BB214" s="266"/>
      <c r="BC214" s="266"/>
      <c r="BD214" s="266"/>
      <c r="BE214" s="266"/>
      <c r="BF214" s="266"/>
      <c r="BG214" s="266"/>
      <c r="BH214" s="266"/>
      <c r="BI214" s="266"/>
      <c r="BJ214" s="266"/>
      <c r="BK214" s="266"/>
      <c r="BL214" s="266"/>
      <c r="BM214" s="266"/>
      <c r="BN214" s="266"/>
    </row>
    <row r="215" spans="1:69" s="267" customFormat="1" ht="13.2" x14ac:dyDescent="0.2">
      <c r="A215" s="144">
        <f>IF(COUNTBLANK(E215)=1," ",COUNTA($E$13:E215))</f>
        <v>184</v>
      </c>
      <c r="B215" s="280"/>
      <c r="C215" s="272" t="s">
        <v>293</v>
      </c>
      <c r="D215" s="158" t="s">
        <v>292</v>
      </c>
      <c r="E215" s="233">
        <f>ROUND(E213/8*2,2)</f>
        <v>19.79</v>
      </c>
      <c r="F215" s="155"/>
      <c r="G215" s="155"/>
      <c r="H215" s="156"/>
      <c r="I215" s="156"/>
      <c r="J215" s="156"/>
      <c r="K215" s="149"/>
      <c r="L215" s="150"/>
      <c r="M215" s="149"/>
      <c r="N215" s="149"/>
      <c r="O215" s="149"/>
      <c r="P215" s="151"/>
      <c r="Q215" s="264"/>
      <c r="R215" s="264"/>
      <c r="S215" s="264"/>
      <c r="T215" s="265"/>
      <c r="U215" s="266"/>
      <c r="V215" s="266"/>
      <c r="W215" s="266"/>
      <c r="X215" s="266"/>
      <c r="Y215" s="266"/>
      <c r="Z215" s="266"/>
      <c r="AA215" s="266"/>
      <c r="AB215" s="266"/>
      <c r="AC215" s="266"/>
      <c r="AD215" s="266"/>
      <c r="AE215" s="266"/>
      <c r="AF215" s="266"/>
      <c r="AG215" s="266"/>
      <c r="AH215" s="266"/>
      <c r="AI215" s="266"/>
      <c r="AJ215" s="266"/>
      <c r="AK215" s="266"/>
      <c r="AL215" s="266"/>
      <c r="AM215" s="266"/>
      <c r="AN215" s="266"/>
      <c r="AO215" s="266"/>
      <c r="AP215" s="266"/>
      <c r="AQ215" s="266"/>
      <c r="AR215" s="266"/>
      <c r="AS215" s="266"/>
      <c r="AT215" s="266"/>
      <c r="AU215" s="266"/>
      <c r="AV215" s="266"/>
      <c r="AW215" s="266"/>
      <c r="AX215" s="266"/>
      <c r="AY215" s="266"/>
      <c r="AZ215" s="266"/>
      <c r="BA215" s="266"/>
      <c r="BB215" s="266"/>
      <c r="BC215" s="266"/>
      <c r="BD215" s="266"/>
      <c r="BE215" s="266"/>
      <c r="BF215" s="266"/>
      <c r="BG215" s="266"/>
      <c r="BH215" s="266"/>
      <c r="BI215" s="266"/>
      <c r="BJ215" s="266"/>
      <c r="BK215" s="266"/>
      <c r="BL215" s="266"/>
      <c r="BM215" s="266"/>
      <c r="BN215" s="266"/>
    </row>
    <row r="216" spans="1:69" s="267" customFormat="1" ht="13.2" x14ac:dyDescent="0.2">
      <c r="A216" s="144">
        <f>IF(COUNTBLANK(E216)=1," ",COUNTA($E$13:E216))</f>
        <v>185</v>
      </c>
      <c r="B216" s="280"/>
      <c r="C216" s="272" t="s">
        <v>273</v>
      </c>
      <c r="D216" s="154" t="s">
        <v>78</v>
      </c>
      <c r="E216" s="233">
        <v>1</v>
      </c>
      <c r="F216" s="155"/>
      <c r="G216" s="155"/>
      <c r="H216" s="156"/>
      <c r="I216" s="156"/>
      <c r="J216" s="156"/>
      <c r="K216" s="149"/>
      <c r="L216" s="150"/>
      <c r="M216" s="149"/>
      <c r="N216" s="149"/>
      <c r="O216" s="149"/>
      <c r="P216" s="151"/>
      <c r="Q216" s="264"/>
      <c r="R216" s="264"/>
      <c r="S216" s="264"/>
      <c r="T216" s="268"/>
      <c r="U216" s="268"/>
      <c r="V216" s="268"/>
      <c r="W216" s="266"/>
      <c r="X216" s="266"/>
      <c r="Y216" s="266"/>
      <c r="Z216" s="266"/>
      <c r="AA216" s="266"/>
      <c r="AB216" s="266"/>
      <c r="AC216" s="266"/>
      <c r="AD216" s="266"/>
      <c r="AE216" s="266"/>
      <c r="AF216" s="266"/>
      <c r="AG216" s="266"/>
      <c r="AH216" s="266"/>
      <c r="AI216" s="266"/>
      <c r="AJ216" s="266"/>
      <c r="AK216" s="266"/>
      <c r="AL216" s="266"/>
      <c r="AM216" s="266"/>
      <c r="AN216" s="266"/>
      <c r="AO216" s="266"/>
      <c r="AP216" s="266"/>
      <c r="AQ216" s="266"/>
      <c r="AR216" s="266"/>
      <c r="AS216" s="266"/>
      <c r="AT216" s="266"/>
      <c r="AU216" s="266"/>
      <c r="AV216" s="266"/>
      <c r="AW216" s="266"/>
      <c r="AX216" s="266"/>
      <c r="AY216" s="266"/>
      <c r="AZ216" s="266"/>
      <c r="BA216" s="266"/>
      <c r="BB216" s="266"/>
      <c r="BC216" s="266"/>
      <c r="BD216" s="266"/>
      <c r="BE216" s="266"/>
      <c r="BF216" s="266"/>
      <c r="BG216" s="266"/>
      <c r="BH216" s="266"/>
      <c r="BI216" s="266"/>
      <c r="BJ216" s="266"/>
      <c r="BK216" s="266"/>
      <c r="BL216" s="266"/>
      <c r="BM216" s="266"/>
      <c r="BN216" s="266"/>
      <c r="BO216" s="266"/>
      <c r="BP216" s="266"/>
      <c r="BQ216" s="266"/>
    </row>
    <row r="217" spans="1:69" x14ac:dyDescent="0.25">
      <c r="A217" s="144">
        <f>IF(COUNTBLANK(E217)=1," ",COUNTA($E$13:E217))</f>
        <v>186</v>
      </c>
      <c r="B217" s="222"/>
      <c r="C217" s="270" t="s">
        <v>138</v>
      </c>
      <c r="D217" s="221" t="s">
        <v>29</v>
      </c>
      <c r="E217" s="271">
        <v>899.32</v>
      </c>
      <c r="F217" s="212"/>
      <c r="G217" s="213"/>
      <c r="H217" s="156"/>
      <c r="I217" s="213"/>
      <c r="J217" s="213"/>
      <c r="K217" s="213"/>
      <c r="L217" s="212"/>
      <c r="M217" s="213"/>
      <c r="N217" s="213"/>
      <c r="O217" s="213"/>
      <c r="P217" s="214"/>
    </row>
    <row r="218" spans="1:69" s="45" customFormat="1" ht="26.4" x14ac:dyDescent="0.25">
      <c r="A218" s="144">
        <f>IF(COUNTBLANK(E218)=1," ",COUNTA($E$13:E218))</f>
        <v>187</v>
      </c>
      <c r="B218" s="215"/>
      <c r="C218" s="272" t="s">
        <v>294</v>
      </c>
      <c r="D218" s="154" t="s">
        <v>29</v>
      </c>
      <c r="E218" s="234">
        <f>E217*1.15</f>
        <v>1034.2180000000001</v>
      </c>
      <c r="F218" s="155"/>
      <c r="G218" s="155"/>
      <c r="H218" s="156"/>
      <c r="I218" s="156"/>
      <c r="J218" s="156"/>
      <c r="K218" s="149"/>
      <c r="L218" s="150"/>
      <c r="M218" s="149"/>
      <c r="N218" s="149"/>
      <c r="O218" s="149"/>
      <c r="P218" s="151"/>
    </row>
    <row r="219" spans="1:69" s="45" customFormat="1" ht="26.4" x14ac:dyDescent="0.25">
      <c r="A219" s="144">
        <f>IF(COUNTBLANK(E219)=1," ",COUNTA($E$13:E219))</f>
        <v>188</v>
      </c>
      <c r="B219" s="215"/>
      <c r="C219" s="272" t="s">
        <v>295</v>
      </c>
      <c r="D219" s="154" t="s">
        <v>78</v>
      </c>
      <c r="E219" s="234">
        <v>1</v>
      </c>
      <c r="F219" s="155"/>
      <c r="G219" s="155"/>
      <c r="H219" s="156"/>
      <c r="I219" s="156"/>
      <c r="J219" s="156"/>
      <c r="K219" s="149"/>
      <c r="L219" s="150"/>
      <c r="M219" s="149"/>
      <c r="N219" s="149"/>
      <c r="O219" s="149"/>
      <c r="P219" s="151"/>
    </row>
    <row r="220" spans="1:69" x14ac:dyDescent="0.25">
      <c r="A220" s="144">
        <f>IF(COUNTBLANK(E220)=1," ",COUNTA($E$13:E220))</f>
        <v>189</v>
      </c>
      <c r="B220" s="222"/>
      <c r="C220" s="270" t="s">
        <v>134</v>
      </c>
      <c r="D220" s="221" t="s">
        <v>29</v>
      </c>
      <c r="E220" s="271">
        <v>899.32</v>
      </c>
      <c r="F220" s="212"/>
      <c r="G220" s="213"/>
      <c r="H220" s="156"/>
      <c r="I220" s="213"/>
      <c r="J220" s="213"/>
      <c r="K220" s="213"/>
      <c r="L220" s="212"/>
      <c r="M220" s="213"/>
      <c r="N220" s="213"/>
      <c r="O220" s="213"/>
      <c r="P220" s="214"/>
    </row>
    <row r="221" spans="1:69" x14ac:dyDescent="0.25">
      <c r="A221" s="144">
        <f>IF(COUNTBLANK(E221)=1," ",COUNTA($E$13:E221))</f>
        <v>190</v>
      </c>
      <c r="B221" s="222"/>
      <c r="C221" s="270" t="s">
        <v>135</v>
      </c>
      <c r="D221" s="221" t="s">
        <v>29</v>
      </c>
      <c r="E221" s="271">
        <v>899.32</v>
      </c>
      <c r="F221" s="212"/>
      <c r="G221" s="213"/>
      <c r="H221" s="156"/>
      <c r="I221" s="213"/>
      <c r="J221" s="213"/>
      <c r="K221" s="213"/>
      <c r="L221" s="212"/>
      <c r="M221" s="213"/>
      <c r="N221" s="213"/>
      <c r="O221" s="213"/>
      <c r="P221" s="214"/>
    </row>
    <row r="222" spans="1:69" x14ac:dyDescent="0.25">
      <c r="A222" s="144">
        <f>IF(COUNTBLANK(E222)=1," ",COUNTA($E$13:E222))</f>
        <v>191</v>
      </c>
      <c r="B222" s="222"/>
      <c r="C222" s="270" t="s">
        <v>136</v>
      </c>
      <c r="D222" s="221" t="s">
        <v>29</v>
      </c>
      <c r="E222" s="271">
        <v>899.32</v>
      </c>
      <c r="F222" s="212"/>
      <c r="G222" s="213"/>
      <c r="H222" s="156"/>
      <c r="I222" s="213"/>
      <c r="J222" s="213"/>
      <c r="K222" s="213"/>
      <c r="L222" s="212"/>
      <c r="M222" s="213"/>
      <c r="N222" s="213"/>
      <c r="O222" s="213"/>
      <c r="P222" s="214"/>
    </row>
    <row r="223" spans="1:69" x14ac:dyDescent="0.25">
      <c r="A223" s="144">
        <f>IF(COUNTBLANK(E223)=1," ",COUNTA($E$13:E223))</f>
        <v>192</v>
      </c>
      <c r="B223" s="222"/>
      <c r="C223" s="270" t="s">
        <v>137</v>
      </c>
      <c r="D223" s="221" t="s">
        <v>29</v>
      </c>
      <c r="E223" s="271">
        <v>899.32</v>
      </c>
      <c r="F223" s="212"/>
      <c r="G223" s="213"/>
      <c r="H223" s="156"/>
      <c r="I223" s="213"/>
      <c r="J223" s="213"/>
      <c r="K223" s="213"/>
      <c r="L223" s="212"/>
      <c r="M223" s="213"/>
      <c r="N223" s="213"/>
      <c r="O223" s="213"/>
      <c r="P223" s="214"/>
    </row>
    <row r="224" spans="1:69" ht="15.6" x14ac:dyDescent="0.25">
      <c r="A224" s="144" t="str">
        <f>IF(COUNTBLANK(E224)=1," ",COUNTA($E$13:E224))</f>
        <v xml:space="preserve"> </v>
      </c>
      <c r="B224" s="211"/>
      <c r="C224" s="217" t="s">
        <v>131</v>
      </c>
      <c r="D224" s="14"/>
      <c r="E224" s="14"/>
      <c r="F224" s="212"/>
      <c r="G224" s="213"/>
      <c r="H224" s="156"/>
      <c r="I224" s="213"/>
      <c r="J224" s="213"/>
      <c r="K224" s="213"/>
      <c r="L224" s="212"/>
      <c r="M224" s="213"/>
      <c r="N224" s="213"/>
      <c r="O224" s="213"/>
      <c r="P224" s="214"/>
    </row>
    <row r="225" spans="1:69" x14ac:dyDescent="0.25">
      <c r="A225" s="144">
        <f>IF(COUNTBLANK(E225)=1," ",COUNTA($E$13:E225))</f>
        <v>193</v>
      </c>
      <c r="B225" s="222"/>
      <c r="C225" s="270" t="s">
        <v>132</v>
      </c>
      <c r="D225" s="221" t="s">
        <v>29</v>
      </c>
      <c r="E225" s="271">
        <f t="shared" ref="E225:E237" si="13">139.1</f>
        <v>139.1</v>
      </c>
      <c r="F225" s="212"/>
      <c r="G225" s="213"/>
      <c r="H225" s="156"/>
      <c r="I225" s="213"/>
      <c r="J225" s="213"/>
      <c r="K225" s="213"/>
      <c r="L225" s="212"/>
      <c r="M225" s="213"/>
      <c r="N225" s="213"/>
      <c r="O225" s="213"/>
      <c r="P225" s="214"/>
    </row>
    <row r="226" spans="1:69" ht="26.4" x14ac:dyDescent="0.25">
      <c r="A226" s="144">
        <f>IF(COUNTBLANK(E226)=1," ",COUNTA($E$13:E226))</f>
        <v>194</v>
      </c>
      <c r="B226" s="222"/>
      <c r="C226" s="270" t="s">
        <v>149</v>
      </c>
      <c r="D226" s="221" t="s">
        <v>29</v>
      </c>
      <c r="E226" s="271">
        <f t="shared" si="13"/>
        <v>139.1</v>
      </c>
      <c r="F226" s="212"/>
      <c r="G226" s="213"/>
      <c r="H226" s="156"/>
      <c r="I226" s="213"/>
      <c r="J226" s="213"/>
      <c r="K226" s="213"/>
      <c r="L226" s="212"/>
      <c r="M226" s="213"/>
      <c r="N226" s="213"/>
      <c r="O226" s="213"/>
      <c r="P226" s="214"/>
    </row>
    <row r="227" spans="1:69" s="267" customFormat="1" ht="13.2" x14ac:dyDescent="0.2">
      <c r="A227" s="144">
        <f>IF(COUNTBLANK(E227)=1," ",COUNTA($E$13:E227))</f>
        <v>195</v>
      </c>
      <c r="B227" s="280"/>
      <c r="C227" s="272" t="s">
        <v>297</v>
      </c>
      <c r="D227" s="158" t="s">
        <v>95</v>
      </c>
      <c r="E227" s="233">
        <f>ROUND(E226*0.1*1.1,2)</f>
        <v>15.3</v>
      </c>
      <c r="F227" s="155"/>
      <c r="G227" s="155"/>
      <c r="H227" s="156"/>
      <c r="I227" s="156"/>
      <c r="J227" s="156"/>
      <c r="K227" s="149"/>
      <c r="L227" s="150"/>
      <c r="M227" s="149"/>
      <c r="N227" s="149"/>
      <c r="O227" s="149"/>
      <c r="P227" s="151"/>
      <c r="Q227" s="264"/>
      <c r="R227" s="264"/>
      <c r="S227" s="264"/>
      <c r="T227" s="265"/>
      <c r="U227" s="266"/>
      <c r="V227" s="266"/>
      <c r="W227" s="266"/>
      <c r="X227" s="266"/>
      <c r="Y227" s="266"/>
      <c r="Z227" s="266"/>
      <c r="AA227" s="266"/>
      <c r="AB227" s="266"/>
      <c r="AC227" s="266"/>
      <c r="AD227" s="266"/>
      <c r="AE227" s="266"/>
      <c r="AF227" s="266"/>
      <c r="AG227" s="266"/>
      <c r="AH227" s="266"/>
      <c r="AI227" s="266"/>
      <c r="AJ227" s="266"/>
      <c r="AK227" s="266"/>
      <c r="AL227" s="266"/>
      <c r="AM227" s="266"/>
      <c r="AN227" s="266"/>
      <c r="AO227" s="266"/>
      <c r="AP227" s="266"/>
      <c r="AQ227" s="266"/>
      <c r="AR227" s="266"/>
      <c r="AS227" s="266"/>
      <c r="AT227" s="266"/>
      <c r="AU227" s="266"/>
      <c r="AV227" s="266"/>
      <c r="AW227" s="266"/>
      <c r="AX227" s="266"/>
      <c r="AY227" s="266"/>
      <c r="AZ227" s="266"/>
      <c r="BA227" s="266"/>
      <c r="BB227" s="266"/>
      <c r="BC227" s="266"/>
      <c r="BD227" s="266"/>
      <c r="BE227" s="266"/>
      <c r="BF227" s="266"/>
      <c r="BG227" s="266"/>
      <c r="BH227" s="266"/>
      <c r="BI227" s="266"/>
      <c r="BJ227" s="266"/>
      <c r="BK227" s="266"/>
      <c r="BL227" s="266"/>
      <c r="BM227" s="266"/>
      <c r="BN227" s="266"/>
    </row>
    <row r="228" spans="1:69" s="267" customFormat="1" ht="13.2" x14ac:dyDescent="0.2">
      <c r="A228" s="144">
        <f>IF(COUNTBLANK(E228)=1," ",COUNTA($E$13:E228))</f>
        <v>196</v>
      </c>
      <c r="B228" s="280"/>
      <c r="C228" s="272" t="s">
        <v>291</v>
      </c>
      <c r="D228" s="158" t="s">
        <v>292</v>
      </c>
      <c r="E228" s="233">
        <f>ROUND(E227/8*1,2)</f>
        <v>1.91</v>
      </c>
      <c r="F228" s="155"/>
      <c r="G228" s="155"/>
      <c r="H228" s="156"/>
      <c r="I228" s="156"/>
      <c r="J228" s="156"/>
      <c r="K228" s="149"/>
      <c r="L228" s="150"/>
      <c r="M228" s="149"/>
      <c r="N228" s="149"/>
      <c r="O228" s="149"/>
      <c r="P228" s="151"/>
      <c r="Q228" s="264"/>
      <c r="R228" s="264"/>
      <c r="S228" s="264"/>
      <c r="T228" s="265"/>
      <c r="U228" s="266"/>
      <c r="V228" s="266"/>
      <c r="W228" s="266"/>
      <c r="X228" s="266"/>
      <c r="Y228" s="266"/>
      <c r="Z228" s="266"/>
      <c r="AA228" s="266"/>
      <c r="AB228" s="266"/>
      <c r="AC228" s="266"/>
      <c r="AD228" s="266"/>
      <c r="AE228" s="266"/>
      <c r="AF228" s="266"/>
      <c r="AG228" s="266"/>
      <c r="AH228" s="266"/>
      <c r="AI228" s="266"/>
      <c r="AJ228" s="266"/>
      <c r="AK228" s="266"/>
      <c r="AL228" s="266"/>
      <c r="AM228" s="266"/>
      <c r="AN228" s="266"/>
      <c r="AO228" s="266"/>
      <c r="AP228" s="266"/>
      <c r="AQ228" s="266"/>
      <c r="AR228" s="266"/>
      <c r="AS228" s="266"/>
      <c r="AT228" s="266"/>
      <c r="AU228" s="266"/>
      <c r="AV228" s="266"/>
      <c r="AW228" s="266"/>
      <c r="AX228" s="266"/>
      <c r="AY228" s="266"/>
      <c r="AZ228" s="266"/>
      <c r="BA228" s="266"/>
      <c r="BB228" s="266"/>
      <c r="BC228" s="266"/>
      <c r="BD228" s="266"/>
      <c r="BE228" s="266"/>
      <c r="BF228" s="266"/>
      <c r="BG228" s="266"/>
      <c r="BH228" s="266"/>
      <c r="BI228" s="266"/>
      <c r="BJ228" s="266"/>
      <c r="BK228" s="266"/>
      <c r="BL228" s="266"/>
      <c r="BM228" s="266"/>
      <c r="BN228" s="266"/>
    </row>
    <row r="229" spans="1:69" s="267" customFormat="1" ht="13.2" x14ac:dyDescent="0.2">
      <c r="A229" s="144">
        <f>IF(COUNTBLANK(E229)=1," ",COUNTA($E$13:E229))</f>
        <v>197</v>
      </c>
      <c r="B229" s="280"/>
      <c r="C229" s="272" t="s">
        <v>293</v>
      </c>
      <c r="D229" s="158" t="s">
        <v>292</v>
      </c>
      <c r="E229" s="233">
        <f>ROUND(E227/8*2,2)</f>
        <v>3.83</v>
      </c>
      <c r="F229" s="155"/>
      <c r="G229" s="155"/>
      <c r="H229" s="156"/>
      <c r="I229" s="156"/>
      <c r="J229" s="156"/>
      <c r="K229" s="149"/>
      <c r="L229" s="150"/>
      <c r="M229" s="149"/>
      <c r="N229" s="149"/>
      <c r="O229" s="149"/>
      <c r="P229" s="151"/>
      <c r="Q229" s="264"/>
      <c r="R229" s="264"/>
      <c r="S229" s="264"/>
      <c r="T229" s="265"/>
      <c r="U229" s="266"/>
      <c r="V229" s="266"/>
      <c r="W229" s="266"/>
      <c r="X229" s="266"/>
      <c r="Y229" s="266"/>
      <c r="Z229" s="266"/>
      <c r="AA229" s="266"/>
      <c r="AB229" s="266"/>
      <c r="AC229" s="266"/>
      <c r="AD229" s="266"/>
      <c r="AE229" s="266"/>
      <c r="AF229" s="266"/>
      <c r="AG229" s="266"/>
      <c r="AH229" s="266"/>
      <c r="AI229" s="266"/>
      <c r="AJ229" s="266"/>
      <c r="AK229" s="266"/>
      <c r="AL229" s="266"/>
      <c r="AM229" s="266"/>
      <c r="AN229" s="266"/>
      <c r="AO229" s="266"/>
      <c r="AP229" s="266"/>
      <c r="AQ229" s="266"/>
      <c r="AR229" s="266"/>
      <c r="AS229" s="266"/>
      <c r="AT229" s="266"/>
      <c r="AU229" s="266"/>
      <c r="AV229" s="266"/>
      <c r="AW229" s="266"/>
      <c r="AX229" s="266"/>
      <c r="AY229" s="266"/>
      <c r="AZ229" s="266"/>
      <c r="BA229" s="266"/>
      <c r="BB229" s="266"/>
      <c r="BC229" s="266"/>
      <c r="BD229" s="266"/>
      <c r="BE229" s="266"/>
      <c r="BF229" s="266"/>
      <c r="BG229" s="266"/>
      <c r="BH229" s="266"/>
      <c r="BI229" s="266"/>
      <c r="BJ229" s="266"/>
      <c r="BK229" s="266"/>
      <c r="BL229" s="266"/>
      <c r="BM229" s="266"/>
      <c r="BN229" s="266"/>
    </row>
    <row r="230" spans="1:69" s="267" customFormat="1" ht="13.2" x14ac:dyDescent="0.2">
      <c r="A230" s="144">
        <f>IF(COUNTBLANK(E230)=1," ",COUNTA($E$13:E230))</f>
        <v>198</v>
      </c>
      <c r="B230" s="280"/>
      <c r="C230" s="272" t="s">
        <v>273</v>
      </c>
      <c r="D230" s="154" t="s">
        <v>78</v>
      </c>
      <c r="E230" s="233">
        <v>1</v>
      </c>
      <c r="F230" s="155"/>
      <c r="G230" s="155"/>
      <c r="H230" s="156"/>
      <c r="I230" s="156"/>
      <c r="J230" s="156"/>
      <c r="K230" s="149"/>
      <c r="L230" s="150"/>
      <c r="M230" s="149"/>
      <c r="N230" s="149"/>
      <c r="O230" s="149"/>
      <c r="P230" s="151"/>
      <c r="Q230" s="264"/>
      <c r="R230" s="264"/>
      <c r="S230" s="264"/>
      <c r="T230" s="268"/>
      <c r="U230" s="268"/>
      <c r="V230" s="268"/>
      <c r="W230" s="266"/>
      <c r="X230" s="266"/>
      <c r="Y230" s="266"/>
      <c r="Z230" s="266"/>
      <c r="AA230" s="266"/>
      <c r="AB230" s="266"/>
      <c r="AC230" s="266"/>
      <c r="AD230" s="266"/>
      <c r="AE230" s="266"/>
      <c r="AF230" s="266"/>
      <c r="AG230" s="266"/>
      <c r="AH230" s="266"/>
      <c r="AI230" s="266"/>
      <c r="AJ230" s="266"/>
      <c r="AK230" s="266"/>
      <c r="AL230" s="266"/>
      <c r="AM230" s="266"/>
      <c r="AN230" s="266"/>
      <c r="AO230" s="266"/>
      <c r="AP230" s="266"/>
      <c r="AQ230" s="266"/>
      <c r="AR230" s="266"/>
      <c r="AS230" s="266"/>
      <c r="AT230" s="266"/>
      <c r="AU230" s="266"/>
      <c r="AV230" s="266"/>
      <c r="AW230" s="266"/>
      <c r="AX230" s="266"/>
      <c r="AY230" s="266"/>
      <c r="AZ230" s="266"/>
      <c r="BA230" s="266"/>
      <c r="BB230" s="266"/>
      <c r="BC230" s="266"/>
      <c r="BD230" s="266"/>
      <c r="BE230" s="266"/>
      <c r="BF230" s="266"/>
      <c r="BG230" s="266"/>
      <c r="BH230" s="266"/>
      <c r="BI230" s="266"/>
      <c r="BJ230" s="266"/>
      <c r="BK230" s="266"/>
      <c r="BL230" s="266"/>
      <c r="BM230" s="266"/>
      <c r="BN230" s="266"/>
      <c r="BO230" s="266"/>
      <c r="BP230" s="266"/>
      <c r="BQ230" s="266"/>
    </row>
    <row r="231" spans="1:69" x14ac:dyDescent="0.25">
      <c r="A231" s="144">
        <f>IF(COUNTBLANK(E231)=1," ",COUNTA($E$13:E231))</f>
        <v>199</v>
      </c>
      <c r="B231" s="222"/>
      <c r="C231" s="270" t="s">
        <v>138</v>
      </c>
      <c r="D231" s="221" t="s">
        <v>29</v>
      </c>
      <c r="E231" s="271">
        <f t="shared" si="13"/>
        <v>139.1</v>
      </c>
      <c r="F231" s="212"/>
      <c r="G231" s="213"/>
      <c r="H231" s="156"/>
      <c r="I231" s="213"/>
      <c r="J231" s="213"/>
      <c r="K231" s="213"/>
      <c r="L231" s="212"/>
      <c r="M231" s="213"/>
      <c r="N231" s="213"/>
      <c r="O231" s="213"/>
      <c r="P231" s="214"/>
    </row>
    <row r="232" spans="1:69" s="45" customFormat="1" ht="26.4" x14ac:dyDescent="0.25">
      <c r="A232" s="144">
        <f>IF(COUNTBLANK(E232)=1," ",COUNTA($E$13:E232))</f>
        <v>200</v>
      </c>
      <c r="B232" s="215"/>
      <c r="C232" s="272" t="s">
        <v>294</v>
      </c>
      <c r="D232" s="154" t="s">
        <v>29</v>
      </c>
      <c r="E232" s="234">
        <f>E231*1.15</f>
        <v>159.96499999999997</v>
      </c>
      <c r="F232" s="155"/>
      <c r="G232" s="155"/>
      <c r="H232" s="156"/>
      <c r="I232" s="156"/>
      <c r="J232" s="156"/>
      <c r="K232" s="149"/>
      <c r="L232" s="150"/>
      <c r="M232" s="149"/>
      <c r="N232" s="149"/>
      <c r="O232" s="149"/>
      <c r="P232" s="151"/>
    </row>
    <row r="233" spans="1:69" s="45" customFormat="1" ht="26.4" x14ac:dyDescent="0.25">
      <c r="A233" s="144">
        <f>IF(COUNTBLANK(E233)=1," ",COUNTA($E$13:E233))</f>
        <v>201</v>
      </c>
      <c r="B233" s="215"/>
      <c r="C233" s="272" t="s">
        <v>295</v>
      </c>
      <c r="D233" s="154" t="s">
        <v>78</v>
      </c>
      <c r="E233" s="234">
        <v>1</v>
      </c>
      <c r="F233" s="155"/>
      <c r="G233" s="155"/>
      <c r="H233" s="156"/>
      <c r="I233" s="156"/>
      <c r="J233" s="156"/>
      <c r="K233" s="149"/>
      <c r="L233" s="150"/>
      <c r="M233" s="149"/>
      <c r="N233" s="149"/>
      <c r="O233" s="149"/>
      <c r="P233" s="151"/>
    </row>
    <row r="234" spans="1:69" x14ac:dyDescent="0.25">
      <c r="A234" s="144">
        <f>IF(COUNTBLANK(E234)=1," ",COUNTA($E$13:E234))</f>
        <v>202</v>
      </c>
      <c r="B234" s="222"/>
      <c r="C234" s="270" t="s">
        <v>134</v>
      </c>
      <c r="D234" s="221" t="s">
        <v>29</v>
      </c>
      <c r="E234" s="271">
        <f t="shared" si="13"/>
        <v>139.1</v>
      </c>
      <c r="F234" s="212"/>
      <c r="G234" s="213"/>
      <c r="H234" s="156"/>
      <c r="I234" s="213"/>
      <c r="J234" s="213"/>
      <c r="K234" s="213"/>
      <c r="L234" s="212"/>
      <c r="M234" s="213"/>
      <c r="N234" s="213"/>
      <c r="O234" s="213"/>
      <c r="P234" s="214"/>
    </row>
    <row r="235" spans="1:69" x14ac:dyDescent="0.25">
      <c r="A235" s="144">
        <f>IF(COUNTBLANK(E235)=1," ",COUNTA($E$13:E235))</f>
        <v>203</v>
      </c>
      <c r="B235" s="222"/>
      <c r="C235" s="270" t="s">
        <v>135</v>
      </c>
      <c r="D235" s="221" t="s">
        <v>29</v>
      </c>
      <c r="E235" s="271">
        <f t="shared" si="13"/>
        <v>139.1</v>
      </c>
      <c r="F235" s="212"/>
      <c r="G235" s="213"/>
      <c r="H235" s="156"/>
      <c r="I235" s="213"/>
      <c r="J235" s="213"/>
      <c r="K235" s="213"/>
      <c r="L235" s="212"/>
      <c r="M235" s="213"/>
      <c r="N235" s="213"/>
      <c r="O235" s="213"/>
      <c r="P235" s="214"/>
    </row>
    <row r="236" spans="1:69" x14ac:dyDescent="0.25">
      <c r="A236" s="144">
        <f>IF(COUNTBLANK(E236)=1," ",COUNTA($E$13:E236))</f>
        <v>204</v>
      </c>
      <c r="B236" s="222"/>
      <c r="C236" s="270" t="s">
        <v>136</v>
      </c>
      <c r="D236" s="221" t="s">
        <v>29</v>
      </c>
      <c r="E236" s="271">
        <f t="shared" si="13"/>
        <v>139.1</v>
      </c>
      <c r="F236" s="212"/>
      <c r="G236" s="213"/>
      <c r="H236" s="156"/>
      <c r="I236" s="213"/>
      <c r="J236" s="213"/>
      <c r="K236" s="213"/>
      <c r="L236" s="212"/>
      <c r="M236" s="213"/>
      <c r="N236" s="213"/>
      <c r="O236" s="213"/>
      <c r="P236" s="214"/>
    </row>
    <row r="237" spans="1:69" x14ac:dyDescent="0.25">
      <c r="A237" s="144">
        <f>IF(COUNTBLANK(E237)=1," ",COUNTA($E$13:E237))</f>
        <v>205</v>
      </c>
      <c r="B237" s="222"/>
      <c r="C237" s="270" t="s">
        <v>137</v>
      </c>
      <c r="D237" s="221" t="s">
        <v>29</v>
      </c>
      <c r="E237" s="271">
        <f t="shared" si="13"/>
        <v>139.1</v>
      </c>
      <c r="F237" s="212"/>
      <c r="G237" s="213"/>
      <c r="H237" s="156"/>
      <c r="I237" s="213"/>
      <c r="J237" s="213"/>
      <c r="K237" s="213"/>
      <c r="L237" s="212"/>
      <c r="M237" s="213"/>
      <c r="N237" s="213"/>
      <c r="O237" s="213"/>
      <c r="P237" s="214"/>
    </row>
    <row r="238" spans="1:69" ht="15.6" x14ac:dyDescent="0.3">
      <c r="A238" s="144" t="str">
        <f>IF(COUNTBLANK(E238)=1," ",COUNTA($E$13:E238))</f>
        <v xml:space="preserve"> </v>
      </c>
      <c r="B238" s="222"/>
      <c r="C238" s="274" t="s">
        <v>208</v>
      </c>
      <c r="D238" s="221"/>
      <c r="E238" s="271"/>
      <c r="F238" s="212"/>
      <c r="G238" s="213"/>
      <c r="H238" s="156"/>
      <c r="I238" s="213"/>
      <c r="J238" s="213"/>
      <c r="K238" s="213"/>
      <c r="L238" s="212"/>
      <c r="M238" s="213"/>
      <c r="N238" s="213"/>
      <c r="O238" s="213"/>
      <c r="P238" s="214"/>
    </row>
    <row r="239" spans="1:69" x14ac:dyDescent="0.25">
      <c r="A239" s="144">
        <f>IF(COUNTBLANK(E239)=1," ",COUNTA($E$13:E239))</f>
        <v>206</v>
      </c>
      <c r="B239" s="222"/>
      <c r="C239" s="270" t="s">
        <v>132</v>
      </c>
      <c r="D239" s="221" t="s">
        <v>29</v>
      </c>
      <c r="E239" s="271">
        <f>64*0.4*2</f>
        <v>51.2</v>
      </c>
      <c r="F239" s="212"/>
      <c r="G239" s="213"/>
      <c r="H239" s="156"/>
      <c r="I239" s="213"/>
      <c r="J239" s="213"/>
      <c r="K239" s="213"/>
      <c r="L239" s="212"/>
      <c r="M239" s="213"/>
      <c r="N239" s="213"/>
      <c r="O239" s="213"/>
      <c r="P239" s="214"/>
    </row>
    <row r="240" spans="1:69" ht="26.4" x14ac:dyDescent="0.25">
      <c r="A240" s="144">
        <f>IF(COUNTBLANK(E240)=1," ",COUNTA($E$13:E240))</f>
        <v>207</v>
      </c>
      <c r="B240" s="222"/>
      <c r="C240" s="270" t="s">
        <v>149</v>
      </c>
      <c r="D240" s="221" t="s">
        <v>29</v>
      </c>
      <c r="E240" s="271">
        <f>64*0.4*2</f>
        <v>51.2</v>
      </c>
      <c r="F240" s="212"/>
      <c r="G240" s="213"/>
      <c r="H240" s="156"/>
      <c r="I240" s="213"/>
      <c r="J240" s="213"/>
      <c r="K240" s="213"/>
      <c r="L240" s="212"/>
      <c r="M240" s="213"/>
      <c r="N240" s="213"/>
      <c r="O240" s="213"/>
      <c r="P240" s="214"/>
    </row>
    <row r="241" spans="1:69" s="267" customFormat="1" ht="13.2" x14ac:dyDescent="0.2">
      <c r="A241" s="144">
        <f>IF(COUNTBLANK(E241)=1," ",COUNTA($E$13:E241))</f>
        <v>208</v>
      </c>
      <c r="B241" s="280"/>
      <c r="C241" s="272" t="s">
        <v>297</v>
      </c>
      <c r="D241" s="158" t="s">
        <v>95</v>
      </c>
      <c r="E241" s="233">
        <f>ROUND(E240*0.1*1.1,2)</f>
        <v>5.63</v>
      </c>
      <c r="F241" s="155"/>
      <c r="G241" s="155"/>
      <c r="H241" s="156"/>
      <c r="I241" s="156"/>
      <c r="J241" s="156"/>
      <c r="K241" s="149"/>
      <c r="L241" s="150"/>
      <c r="M241" s="149"/>
      <c r="N241" s="149"/>
      <c r="O241" s="149"/>
      <c r="P241" s="151"/>
      <c r="Q241" s="264"/>
      <c r="R241" s="264"/>
      <c r="S241" s="264"/>
      <c r="T241" s="265"/>
      <c r="U241" s="266"/>
      <c r="V241" s="266"/>
      <c r="W241" s="266"/>
      <c r="X241" s="266"/>
      <c r="Y241" s="266"/>
      <c r="Z241" s="266"/>
      <c r="AA241" s="266"/>
      <c r="AB241" s="266"/>
      <c r="AC241" s="266"/>
      <c r="AD241" s="266"/>
      <c r="AE241" s="266"/>
      <c r="AF241" s="266"/>
      <c r="AG241" s="266"/>
      <c r="AH241" s="266"/>
      <c r="AI241" s="266"/>
      <c r="AJ241" s="266"/>
      <c r="AK241" s="266"/>
      <c r="AL241" s="266"/>
      <c r="AM241" s="266"/>
      <c r="AN241" s="266"/>
      <c r="AO241" s="266"/>
      <c r="AP241" s="266"/>
      <c r="AQ241" s="266"/>
      <c r="AR241" s="266"/>
      <c r="AS241" s="266"/>
      <c r="AT241" s="266"/>
      <c r="AU241" s="266"/>
      <c r="AV241" s="266"/>
      <c r="AW241" s="266"/>
      <c r="AX241" s="266"/>
      <c r="AY241" s="266"/>
      <c r="AZ241" s="266"/>
      <c r="BA241" s="266"/>
      <c r="BB241" s="266"/>
      <c r="BC241" s="266"/>
      <c r="BD241" s="266"/>
      <c r="BE241" s="266"/>
      <c r="BF241" s="266"/>
      <c r="BG241" s="266"/>
      <c r="BH241" s="266"/>
      <c r="BI241" s="266"/>
      <c r="BJ241" s="266"/>
      <c r="BK241" s="266"/>
      <c r="BL241" s="266"/>
      <c r="BM241" s="266"/>
      <c r="BN241" s="266"/>
    </row>
    <row r="242" spans="1:69" s="267" customFormat="1" ht="13.2" x14ac:dyDescent="0.2">
      <c r="A242" s="144">
        <f>IF(COUNTBLANK(E242)=1," ",COUNTA($E$13:E242))</f>
        <v>209</v>
      </c>
      <c r="B242" s="280"/>
      <c r="C242" s="272" t="s">
        <v>291</v>
      </c>
      <c r="D242" s="158" t="s">
        <v>292</v>
      </c>
      <c r="E242" s="233">
        <f>ROUND(E241/8*1,2)</f>
        <v>0.7</v>
      </c>
      <c r="F242" s="155"/>
      <c r="G242" s="155"/>
      <c r="H242" s="156"/>
      <c r="I242" s="156"/>
      <c r="J242" s="156"/>
      <c r="K242" s="149"/>
      <c r="L242" s="150"/>
      <c r="M242" s="149"/>
      <c r="N242" s="149"/>
      <c r="O242" s="149"/>
      <c r="P242" s="151"/>
      <c r="Q242" s="264"/>
      <c r="R242" s="264"/>
      <c r="S242" s="264"/>
      <c r="T242" s="265"/>
      <c r="U242" s="266"/>
      <c r="V242" s="266"/>
      <c r="W242" s="266"/>
      <c r="X242" s="266"/>
      <c r="Y242" s="266"/>
      <c r="Z242" s="266"/>
      <c r="AA242" s="266"/>
      <c r="AB242" s="266"/>
      <c r="AC242" s="266"/>
      <c r="AD242" s="266"/>
      <c r="AE242" s="266"/>
      <c r="AF242" s="266"/>
      <c r="AG242" s="266"/>
      <c r="AH242" s="266"/>
      <c r="AI242" s="266"/>
      <c r="AJ242" s="266"/>
      <c r="AK242" s="266"/>
      <c r="AL242" s="266"/>
      <c r="AM242" s="266"/>
      <c r="AN242" s="266"/>
      <c r="AO242" s="266"/>
      <c r="AP242" s="266"/>
      <c r="AQ242" s="266"/>
      <c r="AR242" s="266"/>
      <c r="AS242" s="266"/>
      <c r="AT242" s="266"/>
      <c r="AU242" s="266"/>
      <c r="AV242" s="266"/>
      <c r="AW242" s="266"/>
      <c r="AX242" s="266"/>
      <c r="AY242" s="266"/>
      <c r="AZ242" s="266"/>
      <c r="BA242" s="266"/>
      <c r="BB242" s="266"/>
      <c r="BC242" s="266"/>
      <c r="BD242" s="266"/>
      <c r="BE242" s="266"/>
      <c r="BF242" s="266"/>
      <c r="BG242" s="266"/>
      <c r="BH242" s="266"/>
      <c r="BI242" s="266"/>
      <c r="BJ242" s="266"/>
      <c r="BK242" s="266"/>
      <c r="BL242" s="266"/>
      <c r="BM242" s="266"/>
      <c r="BN242" s="266"/>
    </row>
    <row r="243" spans="1:69" s="267" customFormat="1" ht="13.2" x14ac:dyDescent="0.2">
      <c r="A243" s="144">
        <f>IF(COUNTBLANK(E243)=1," ",COUNTA($E$13:E243))</f>
        <v>210</v>
      </c>
      <c r="B243" s="280"/>
      <c r="C243" s="272" t="s">
        <v>293</v>
      </c>
      <c r="D243" s="158" t="s">
        <v>292</v>
      </c>
      <c r="E243" s="233">
        <f>ROUND(E241/8*2,2)</f>
        <v>1.41</v>
      </c>
      <c r="F243" s="155"/>
      <c r="G243" s="155"/>
      <c r="H243" s="156"/>
      <c r="I243" s="156"/>
      <c r="J243" s="156"/>
      <c r="K243" s="149"/>
      <c r="L243" s="150"/>
      <c r="M243" s="149"/>
      <c r="N243" s="149"/>
      <c r="O243" s="149"/>
      <c r="P243" s="151"/>
      <c r="Q243" s="264"/>
      <c r="R243" s="264"/>
      <c r="S243" s="264"/>
      <c r="T243" s="265"/>
      <c r="U243" s="266"/>
      <c r="V243" s="266"/>
      <c r="W243" s="266"/>
      <c r="X243" s="266"/>
      <c r="Y243" s="266"/>
      <c r="Z243" s="266"/>
      <c r="AA243" s="266"/>
      <c r="AB243" s="266"/>
      <c r="AC243" s="266"/>
      <c r="AD243" s="266"/>
      <c r="AE243" s="266"/>
      <c r="AF243" s="266"/>
      <c r="AG243" s="266"/>
      <c r="AH243" s="266"/>
      <c r="AI243" s="266"/>
      <c r="AJ243" s="266"/>
      <c r="AK243" s="266"/>
      <c r="AL243" s="266"/>
      <c r="AM243" s="266"/>
      <c r="AN243" s="266"/>
      <c r="AO243" s="266"/>
      <c r="AP243" s="266"/>
      <c r="AQ243" s="266"/>
      <c r="AR243" s="266"/>
      <c r="AS243" s="266"/>
      <c r="AT243" s="266"/>
      <c r="AU243" s="266"/>
      <c r="AV243" s="266"/>
      <c r="AW243" s="266"/>
      <c r="AX243" s="266"/>
      <c r="AY243" s="266"/>
      <c r="AZ243" s="266"/>
      <c r="BA243" s="266"/>
      <c r="BB243" s="266"/>
      <c r="BC243" s="266"/>
      <c r="BD243" s="266"/>
      <c r="BE243" s="266"/>
      <c r="BF243" s="266"/>
      <c r="BG243" s="266"/>
      <c r="BH243" s="266"/>
      <c r="BI243" s="266"/>
      <c r="BJ243" s="266"/>
      <c r="BK243" s="266"/>
      <c r="BL243" s="266"/>
      <c r="BM243" s="266"/>
      <c r="BN243" s="266"/>
    </row>
    <row r="244" spans="1:69" s="267" customFormat="1" ht="13.2" x14ac:dyDescent="0.2">
      <c r="A244" s="144">
        <f>IF(COUNTBLANK(E244)=1," ",COUNTA($E$13:E244))</f>
        <v>211</v>
      </c>
      <c r="B244" s="280"/>
      <c r="C244" s="272" t="s">
        <v>273</v>
      </c>
      <c r="D244" s="154" t="s">
        <v>78</v>
      </c>
      <c r="E244" s="233">
        <v>1</v>
      </c>
      <c r="F244" s="155"/>
      <c r="G244" s="155"/>
      <c r="H244" s="156"/>
      <c r="I244" s="156"/>
      <c r="J244" s="156"/>
      <c r="K244" s="149"/>
      <c r="L244" s="150"/>
      <c r="M244" s="149"/>
      <c r="N244" s="149"/>
      <c r="O244" s="149"/>
      <c r="P244" s="151"/>
      <c r="Q244" s="264"/>
      <c r="R244" s="264"/>
      <c r="S244" s="264"/>
      <c r="T244" s="268"/>
      <c r="U244" s="268"/>
      <c r="V244" s="268"/>
      <c r="W244" s="266"/>
      <c r="X244" s="266"/>
      <c r="Y244" s="266"/>
      <c r="Z244" s="266"/>
      <c r="AA244" s="266"/>
      <c r="AB244" s="266"/>
      <c r="AC244" s="266"/>
      <c r="AD244" s="266"/>
      <c r="AE244" s="266"/>
      <c r="AF244" s="266"/>
      <c r="AG244" s="266"/>
      <c r="AH244" s="266"/>
      <c r="AI244" s="266"/>
      <c r="AJ244" s="266"/>
      <c r="AK244" s="266"/>
      <c r="AL244" s="266"/>
      <c r="AM244" s="266"/>
      <c r="AN244" s="266"/>
      <c r="AO244" s="266"/>
      <c r="AP244" s="266"/>
      <c r="AQ244" s="266"/>
      <c r="AR244" s="266"/>
      <c r="AS244" s="266"/>
      <c r="AT244" s="266"/>
      <c r="AU244" s="266"/>
      <c r="AV244" s="266"/>
      <c r="AW244" s="266"/>
      <c r="AX244" s="266"/>
      <c r="AY244" s="266"/>
      <c r="AZ244" s="266"/>
      <c r="BA244" s="266"/>
      <c r="BB244" s="266"/>
      <c r="BC244" s="266"/>
      <c r="BD244" s="266"/>
      <c r="BE244" s="266"/>
      <c r="BF244" s="266"/>
      <c r="BG244" s="266"/>
      <c r="BH244" s="266"/>
      <c r="BI244" s="266"/>
      <c r="BJ244" s="266"/>
      <c r="BK244" s="266"/>
      <c r="BL244" s="266"/>
      <c r="BM244" s="266"/>
      <c r="BN244" s="266"/>
      <c r="BO244" s="266"/>
      <c r="BP244" s="266"/>
      <c r="BQ244" s="266"/>
    </row>
    <row r="245" spans="1:69" x14ac:dyDescent="0.25">
      <c r="A245" s="144">
        <f>IF(COUNTBLANK(E245)=1," ",COUNTA($E$13:E245))</f>
        <v>212</v>
      </c>
      <c r="B245" s="222"/>
      <c r="C245" s="270" t="s">
        <v>138</v>
      </c>
      <c r="D245" s="221" t="s">
        <v>29</v>
      </c>
      <c r="E245" s="271">
        <f>64*0.4*2</f>
        <v>51.2</v>
      </c>
      <c r="F245" s="212"/>
      <c r="G245" s="213"/>
      <c r="H245" s="156"/>
      <c r="I245" s="213"/>
      <c r="J245" s="213"/>
      <c r="K245" s="213"/>
      <c r="L245" s="212"/>
      <c r="M245" s="213"/>
      <c r="N245" s="213"/>
      <c r="O245" s="213"/>
      <c r="P245" s="214"/>
    </row>
    <row r="246" spans="1:69" s="45" customFormat="1" ht="26.4" x14ac:dyDescent="0.25">
      <c r="A246" s="144">
        <f>IF(COUNTBLANK(E246)=1," ",COUNTA($E$13:E246))</f>
        <v>213</v>
      </c>
      <c r="B246" s="215"/>
      <c r="C246" s="272" t="s">
        <v>294</v>
      </c>
      <c r="D246" s="154" t="s">
        <v>29</v>
      </c>
      <c r="E246" s="234">
        <f>E245*1.15</f>
        <v>58.879999999999995</v>
      </c>
      <c r="F246" s="155"/>
      <c r="G246" s="155"/>
      <c r="H246" s="156"/>
      <c r="I246" s="156"/>
      <c r="J246" s="156"/>
      <c r="K246" s="149"/>
      <c r="L246" s="150"/>
      <c r="M246" s="149"/>
      <c r="N246" s="149"/>
      <c r="O246" s="149"/>
      <c r="P246" s="151"/>
    </row>
    <row r="247" spans="1:69" s="45" customFormat="1" ht="26.4" x14ac:dyDescent="0.25">
      <c r="A247" s="144">
        <f>IF(COUNTBLANK(E247)=1," ",COUNTA($E$13:E247))</f>
        <v>214</v>
      </c>
      <c r="B247" s="215"/>
      <c r="C247" s="272" t="s">
        <v>295</v>
      </c>
      <c r="D247" s="154" t="s">
        <v>78</v>
      </c>
      <c r="E247" s="234">
        <v>1</v>
      </c>
      <c r="F247" s="155"/>
      <c r="G247" s="155"/>
      <c r="H247" s="156"/>
      <c r="I247" s="156"/>
      <c r="J247" s="156"/>
      <c r="K247" s="149"/>
      <c r="L247" s="150"/>
      <c r="M247" s="149"/>
      <c r="N247" s="149"/>
      <c r="O247" s="149"/>
      <c r="P247" s="151"/>
    </row>
    <row r="248" spans="1:69" x14ac:dyDescent="0.25">
      <c r="A248" s="144">
        <f>IF(COUNTBLANK(E248)=1," ",COUNTA($E$13:E248))</f>
        <v>215</v>
      </c>
      <c r="B248" s="222"/>
      <c r="C248" s="270" t="s">
        <v>134</v>
      </c>
      <c r="D248" s="221" t="s">
        <v>29</v>
      </c>
      <c r="E248" s="271">
        <f>64*0.4*2</f>
        <v>51.2</v>
      </c>
      <c r="F248" s="212"/>
      <c r="G248" s="213"/>
      <c r="H248" s="156"/>
      <c r="I248" s="213"/>
      <c r="J248" s="213"/>
      <c r="K248" s="213"/>
      <c r="L248" s="212"/>
      <c r="M248" s="213"/>
      <c r="N248" s="213"/>
      <c r="O248" s="213"/>
      <c r="P248" s="214"/>
    </row>
    <row r="249" spans="1:69" ht="15.6" x14ac:dyDescent="0.3">
      <c r="A249" s="144" t="str">
        <f>IF(COUNTBLANK(E249)=1," ",COUNTA($E$13:E249))</f>
        <v xml:space="preserve"> </v>
      </c>
      <c r="B249" s="222"/>
      <c r="C249" s="274" t="s">
        <v>206</v>
      </c>
      <c r="D249" s="221"/>
      <c r="E249" s="271"/>
      <c r="F249" s="212"/>
      <c r="G249" s="213"/>
      <c r="H249" s="156"/>
      <c r="I249" s="213"/>
      <c r="J249" s="213"/>
      <c r="K249" s="213"/>
      <c r="L249" s="212"/>
      <c r="M249" s="213"/>
      <c r="N249" s="213"/>
      <c r="O249" s="213"/>
      <c r="P249" s="214"/>
    </row>
    <row r="250" spans="1:69" ht="26.4" x14ac:dyDescent="0.25">
      <c r="A250" s="144">
        <f>IF(COUNTBLANK(E250)=1," ",COUNTA($E$13:E250))</f>
        <v>216</v>
      </c>
      <c r="B250" s="222"/>
      <c r="C250" s="270" t="s">
        <v>149</v>
      </c>
      <c r="D250" s="263" t="s">
        <v>95</v>
      </c>
      <c r="E250" s="281">
        <f>0.25*0.18*63.7*2</f>
        <v>5.7329999999999997</v>
      </c>
      <c r="F250" s="212"/>
      <c r="G250" s="213"/>
      <c r="H250" s="156"/>
      <c r="I250" s="213"/>
      <c r="J250" s="213"/>
      <c r="K250" s="213"/>
      <c r="L250" s="212"/>
      <c r="M250" s="213"/>
      <c r="N250" s="213"/>
      <c r="O250" s="213"/>
      <c r="P250" s="214"/>
    </row>
    <row r="251" spans="1:69" s="267" customFormat="1" ht="13.2" x14ac:dyDescent="0.2">
      <c r="A251" s="144">
        <f>IF(COUNTBLANK(E251)=1," ",COUNTA($E$13:E251))</f>
        <v>217</v>
      </c>
      <c r="B251" s="280"/>
      <c r="C251" s="272" t="s">
        <v>297</v>
      </c>
      <c r="D251" s="158" t="s">
        <v>95</v>
      </c>
      <c r="E251" s="233">
        <f>ROUND(E250*1.1,2)</f>
        <v>6.31</v>
      </c>
      <c r="F251" s="155"/>
      <c r="G251" s="155"/>
      <c r="H251" s="156"/>
      <c r="I251" s="156"/>
      <c r="J251" s="156"/>
      <c r="K251" s="149"/>
      <c r="L251" s="150"/>
      <c r="M251" s="149"/>
      <c r="N251" s="149"/>
      <c r="O251" s="149"/>
      <c r="P251" s="151"/>
      <c r="Q251" s="264"/>
      <c r="R251" s="264"/>
      <c r="S251" s="264"/>
      <c r="T251" s="265"/>
      <c r="U251" s="266"/>
      <c r="V251" s="266"/>
      <c r="W251" s="266"/>
      <c r="X251" s="266"/>
      <c r="Y251" s="266"/>
      <c r="Z251" s="266"/>
      <c r="AA251" s="266"/>
      <c r="AB251" s="266"/>
      <c r="AC251" s="266"/>
      <c r="AD251" s="266"/>
      <c r="AE251" s="266"/>
      <c r="AF251" s="266"/>
      <c r="AG251" s="266"/>
      <c r="AH251" s="266"/>
      <c r="AI251" s="266"/>
      <c r="AJ251" s="266"/>
      <c r="AK251" s="266"/>
      <c r="AL251" s="266"/>
      <c r="AM251" s="266"/>
      <c r="AN251" s="266"/>
      <c r="AO251" s="266"/>
      <c r="AP251" s="266"/>
      <c r="AQ251" s="266"/>
      <c r="AR251" s="266"/>
      <c r="AS251" s="266"/>
      <c r="AT251" s="266"/>
      <c r="AU251" s="266"/>
      <c r="AV251" s="266"/>
      <c r="AW251" s="266"/>
      <c r="AX251" s="266"/>
      <c r="AY251" s="266"/>
      <c r="AZ251" s="266"/>
      <c r="BA251" s="266"/>
      <c r="BB251" s="266"/>
      <c r="BC251" s="266"/>
      <c r="BD251" s="266"/>
      <c r="BE251" s="266"/>
      <c r="BF251" s="266"/>
      <c r="BG251" s="266"/>
      <c r="BH251" s="266"/>
      <c r="BI251" s="266"/>
      <c r="BJ251" s="266"/>
      <c r="BK251" s="266"/>
      <c r="BL251" s="266"/>
      <c r="BM251" s="266"/>
      <c r="BN251" s="266"/>
    </row>
    <row r="252" spans="1:69" s="267" customFormat="1" ht="13.2" x14ac:dyDescent="0.2">
      <c r="A252" s="144">
        <f>IF(COUNTBLANK(E252)=1," ",COUNTA($E$13:E252))</f>
        <v>218</v>
      </c>
      <c r="B252" s="280"/>
      <c r="C252" s="272" t="s">
        <v>291</v>
      </c>
      <c r="D252" s="158" t="s">
        <v>292</v>
      </c>
      <c r="E252" s="233">
        <f>ROUND(E251/8*1,2)</f>
        <v>0.79</v>
      </c>
      <c r="F252" s="155"/>
      <c r="G252" s="155"/>
      <c r="H252" s="156"/>
      <c r="I252" s="156"/>
      <c r="J252" s="156"/>
      <c r="K252" s="149"/>
      <c r="L252" s="150"/>
      <c r="M252" s="149"/>
      <c r="N252" s="149"/>
      <c r="O252" s="149"/>
      <c r="P252" s="151"/>
      <c r="Q252" s="264"/>
      <c r="R252" s="264"/>
      <c r="S252" s="264"/>
      <c r="T252" s="265"/>
      <c r="U252" s="266"/>
      <c r="V252" s="266"/>
      <c r="W252" s="266"/>
      <c r="X252" s="266"/>
      <c r="Y252" s="266"/>
      <c r="Z252" s="266"/>
      <c r="AA252" s="266"/>
      <c r="AB252" s="266"/>
      <c r="AC252" s="266"/>
      <c r="AD252" s="266"/>
      <c r="AE252" s="266"/>
      <c r="AF252" s="266"/>
      <c r="AG252" s="266"/>
      <c r="AH252" s="266"/>
      <c r="AI252" s="266"/>
      <c r="AJ252" s="266"/>
      <c r="AK252" s="266"/>
      <c r="AL252" s="266"/>
      <c r="AM252" s="266"/>
      <c r="AN252" s="266"/>
      <c r="AO252" s="266"/>
      <c r="AP252" s="266"/>
      <c r="AQ252" s="266"/>
      <c r="AR252" s="266"/>
      <c r="AS252" s="266"/>
      <c r="AT252" s="266"/>
      <c r="AU252" s="266"/>
      <c r="AV252" s="266"/>
      <c r="AW252" s="266"/>
      <c r="AX252" s="266"/>
      <c r="AY252" s="266"/>
      <c r="AZ252" s="266"/>
      <c r="BA252" s="266"/>
      <c r="BB252" s="266"/>
      <c r="BC252" s="266"/>
      <c r="BD252" s="266"/>
      <c r="BE252" s="266"/>
      <c r="BF252" s="266"/>
      <c r="BG252" s="266"/>
      <c r="BH252" s="266"/>
      <c r="BI252" s="266"/>
      <c r="BJ252" s="266"/>
      <c r="BK252" s="266"/>
      <c r="BL252" s="266"/>
      <c r="BM252" s="266"/>
      <c r="BN252" s="266"/>
    </row>
    <row r="253" spans="1:69" s="267" customFormat="1" ht="13.2" x14ac:dyDescent="0.2">
      <c r="A253" s="144">
        <f>IF(COUNTBLANK(E253)=1," ",COUNTA($E$13:E253))</f>
        <v>219</v>
      </c>
      <c r="B253" s="280"/>
      <c r="C253" s="272" t="s">
        <v>293</v>
      </c>
      <c r="D253" s="158" t="s">
        <v>292</v>
      </c>
      <c r="E253" s="233">
        <f>ROUND(E251/8*2,2)</f>
        <v>1.58</v>
      </c>
      <c r="F253" s="155"/>
      <c r="G253" s="155"/>
      <c r="H253" s="156"/>
      <c r="I253" s="156"/>
      <c r="J253" s="156"/>
      <c r="K253" s="149"/>
      <c r="L253" s="150"/>
      <c r="M253" s="149"/>
      <c r="N253" s="149"/>
      <c r="O253" s="149"/>
      <c r="P253" s="151"/>
      <c r="Q253" s="264"/>
      <c r="R253" s="264"/>
      <c r="S253" s="264"/>
      <c r="T253" s="265"/>
      <c r="U253" s="266"/>
      <c r="V253" s="266"/>
      <c r="W253" s="266"/>
      <c r="X253" s="266"/>
      <c r="Y253" s="266"/>
      <c r="Z253" s="266"/>
      <c r="AA253" s="266"/>
      <c r="AB253" s="266"/>
      <c r="AC253" s="266"/>
      <c r="AD253" s="266"/>
      <c r="AE253" s="266"/>
      <c r="AF253" s="266"/>
      <c r="AG253" s="266"/>
      <c r="AH253" s="266"/>
      <c r="AI253" s="266"/>
      <c r="AJ253" s="266"/>
      <c r="AK253" s="266"/>
      <c r="AL253" s="266"/>
      <c r="AM253" s="266"/>
      <c r="AN253" s="266"/>
      <c r="AO253" s="266"/>
      <c r="AP253" s="266"/>
      <c r="AQ253" s="266"/>
      <c r="AR253" s="266"/>
      <c r="AS253" s="266"/>
      <c r="AT253" s="266"/>
      <c r="AU253" s="266"/>
      <c r="AV253" s="266"/>
      <c r="AW253" s="266"/>
      <c r="AX253" s="266"/>
      <c r="AY253" s="266"/>
      <c r="AZ253" s="266"/>
      <c r="BA253" s="266"/>
      <c r="BB253" s="266"/>
      <c r="BC253" s="266"/>
      <c r="BD253" s="266"/>
      <c r="BE253" s="266"/>
      <c r="BF253" s="266"/>
      <c r="BG253" s="266"/>
      <c r="BH253" s="266"/>
      <c r="BI253" s="266"/>
      <c r="BJ253" s="266"/>
      <c r="BK253" s="266"/>
      <c r="BL253" s="266"/>
      <c r="BM253" s="266"/>
      <c r="BN253" s="266"/>
    </row>
    <row r="254" spans="1:69" s="267" customFormat="1" ht="13.2" x14ac:dyDescent="0.2">
      <c r="A254" s="144">
        <f>IF(COUNTBLANK(E254)=1," ",COUNTA($E$13:E254))</f>
        <v>220</v>
      </c>
      <c r="B254" s="280"/>
      <c r="C254" s="272" t="s">
        <v>273</v>
      </c>
      <c r="D254" s="154" t="s">
        <v>78</v>
      </c>
      <c r="E254" s="233">
        <v>1</v>
      </c>
      <c r="F254" s="155"/>
      <c r="G254" s="155"/>
      <c r="H254" s="156"/>
      <c r="I254" s="156"/>
      <c r="J254" s="156"/>
      <c r="K254" s="149"/>
      <c r="L254" s="150"/>
      <c r="M254" s="149"/>
      <c r="N254" s="149"/>
      <c r="O254" s="149"/>
      <c r="P254" s="151"/>
      <c r="Q254" s="264"/>
      <c r="R254" s="264"/>
      <c r="S254" s="264"/>
      <c r="T254" s="268"/>
      <c r="U254" s="268"/>
      <c r="V254" s="268"/>
      <c r="W254" s="266"/>
      <c r="X254" s="266"/>
      <c r="Y254" s="266"/>
      <c r="Z254" s="266"/>
      <c r="AA254" s="266"/>
      <c r="AB254" s="266"/>
      <c r="AC254" s="266"/>
      <c r="AD254" s="266"/>
      <c r="AE254" s="266"/>
      <c r="AF254" s="266"/>
      <c r="AG254" s="266"/>
      <c r="AH254" s="266"/>
      <c r="AI254" s="266"/>
      <c r="AJ254" s="266"/>
      <c r="AK254" s="266"/>
      <c r="AL254" s="266"/>
      <c r="AM254" s="266"/>
      <c r="AN254" s="266"/>
      <c r="AO254" s="266"/>
      <c r="AP254" s="266"/>
      <c r="AQ254" s="266"/>
      <c r="AR254" s="266"/>
      <c r="AS254" s="266"/>
      <c r="AT254" s="266"/>
      <c r="AU254" s="266"/>
      <c r="AV254" s="266"/>
      <c r="AW254" s="266"/>
      <c r="AX254" s="266"/>
      <c r="AY254" s="266"/>
      <c r="AZ254" s="266"/>
      <c r="BA254" s="266"/>
      <c r="BB254" s="266"/>
      <c r="BC254" s="266"/>
      <c r="BD254" s="266"/>
      <c r="BE254" s="266"/>
      <c r="BF254" s="266"/>
      <c r="BG254" s="266"/>
      <c r="BH254" s="266"/>
      <c r="BI254" s="266"/>
      <c r="BJ254" s="266"/>
      <c r="BK254" s="266"/>
      <c r="BL254" s="266"/>
      <c r="BM254" s="266"/>
      <c r="BN254" s="266"/>
      <c r="BO254" s="266"/>
      <c r="BP254" s="266"/>
      <c r="BQ254" s="266"/>
    </row>
    <row r="255" spans="1:69" x14ac:dyDescent="0.25">
      <c r="A255" s="144">
        <f>IF(COUNTBLANK(E255)=1," ",COUNTA($E$13:E255))</f>
        <v>221</v>
      </c>
      <c r="B255" s="222"/>
      <c r="C255" s="270" t="s">
        <v>207</v>
      </c>
      <c r="D255" s="263" t="s">
        <v>75</v>
      </c>
      <c r="E255" s="271">
        <f>64*2</f>
        <v>128</v>
      </c>
      <c r="F255" s="212"/>
      <c r="G255" s="213"/>
      <c r="H255" s="156"/>
      <c r="I255" s="213"/>
      <c r="J255" s="213"/>
      <c r="K255" s="213"/>
      <c r="L255" s="212"/>
      <c r="M255" s="213"/>
      <c r="N255" s="213"/>
      <c r="O255" s="213"/>
      <c r="P255" s="214"/>
    </row>
    <row r="256" spans="1:69" s="45" customFormat="1" ht="26.4" x14ac:dyDescent="0.25">
      <c r="A256" s="144">
        <f>IF(COUNTBLANK(E256)=1," ",COUNTA($E$13:E256))</f>
        <v>222</v>
      </c>
      <c r="B256" s="215"/>
      <c r="C256" s="272" t="s">
        <v>294</v>
      </c>
      <c r="D256" s="154" t="s">
        <v>75</v>
      </c>
      <c r="E256" s="234">
        <f>E255*1.15</f>
        <v>147.19999999999999</v>
      </c>
      <c r="F256" s="155"/>
      <c r="G256" s="155"/>
      <c r="H256" s="156"/>
      <c r="I256" s="156"/>
      <c r="J256" s="156"/>
      <c r="K256" s="149"/>
      <c r="L256" s="150"/>
      <c r="M256" s="149"/>
      <c r="N256" s="149"/>
      <c r="O256" s="149"/>
      <c r="P256" s="151"/>
    </row>
    <row r="257" spans="1:16" s="45" customFormat="1" ht="26.4" x14ac:dyDescent="0.25">
      <c r="A257" s="144">
        <f>IF(COUNTBLANK(E257)=1," ",COUNTA($E$13:E257))</f>
        <v>223</v>
      </c>
      <c r="B257" s="215"/>
      <c r="C257" s="272" t="s">
        <v>295</v>
      </c>
      <c r="D257" s="154" t="s">
        <v>78</v>
      </c>
      <c r="E257" s="234">
        <v>1</v>
      </c>
      <c r="F257" s="155"/>
      <c r="G257" s="155"/>
      <c r="H257" s="156"/>
      <c r="I257" s="156"/>
      <c r="J257" s="156"/>
      <c r="K257" s="149"/>
      <c r="L257" s="150"/>
      <c r="M257" s="149"/>
      <c r="N257" s="149"/>
      <c r="O257" s="149"/>
      <c r="P257" s="151"/>
    </row>
    <row r="258" spans="1:16" x14ac:dyDescent="0.25">
      <c r="A258" s="144">
        <f>IF(COUNTBLANK(E258)=1," ",COUNTA($E$13:E258))</f>
        <v>224</v>
      </c>
      <c r="B258" s="222"/>
      <c r="C258" s="270" t="s">
        <v>134</v>
      </c>
      <c r="D258" s="263" t="s">
        <v>75</v>
      </c>
      <c r="E258" s="271">
        <f>64*2</f>
        <v>128</v>
      </c>
      <c r="F258" s="212"/>
      <c r="G258" s="213"/>
      <c r="H258" s="156"/>
      <c r="I258" s="213"/>
      <c r="J258" s="213"/>
      <c r="K258" s="213"/>
      <c r="L258" s="212"/>
      <c r="M258" s="213"/>
      <c r="N258" s="213"/>
      <c r="O258" s="213"/>
      <c r="P258" s="214"/>
    </row>
    <row r="259" spans="1:16" ht="15.6" x14ac:dyDescent="0.25">
      <c r="A259" s="144" t="str">
        <f>IF(COUNTBLANK(E259)=1," ",COUNTA($E$13:E259))</f>
        <v xml:space="preserve"> </v>
      </c>
      <c r="B259" s="211">
        <v>0</v>
      </c>
      <c r="C259" s="282" t="s">
        <v>139</v>
      </c>
      <c r="D259" s="14"/>
      <c r="E259" s="14"/>
      <c r="F259" s="212"/>
      <c r="G259" s="213"/>
      <c r="H259" s="156"/>
      <c r="I259" s="213"/>
      <c r="J259" s="213"/>
      <c r="K259" s="213"/>
      <c r="L259" s="212"/>
      <c r="M259" s="213"/>
      <c r="N259" s="213"/>
      <c r="O259" s="213"/>
      <c r="P259" s="214"/>
    </row>
    <row r="260" spans="1:16" s="160" customFormat="1" ht="52.8" x14ac:dyDescent="0.25">
      <c r="A260" s="144">
        <f>IF(COUNTBLANK(E260)=1," ",COUNTA($E$13:E260))</f>
        <v>225</v>
      </c>
      <c r="B260" s="157"/>
      <c r="C260" s="275" t="s">
        <v>140</v>
      </c>
      <c r="D260" s="158" t="s">
        <v>115</v>
      </c>
      <c r="E260" s="234">
        <f>16.658*1.15</f>
        <v>19.156700000000001</v>
      </c>
      <c r="F260" s="155"/>
      <c r="G260" s="155"/>
      <c r="H260" s="159"/>
      <c r="I260" s="159"/>
      <c r="J260" s="159"/>
      <c r="K260" s="149"/>
      <c r="L260" s="150"/>
      <c r="M260" s="149"/>
      <c r="N260" s="149"/>
      <c r="O260" s="149"/>
      <c r="P260" s="151"/>
    </row>
    <row r="261" spans="1:16" s="160" customFormat="1" ht="52.8" x14ac:dyDescent="0.25">
      <c r="A261" s="144">
        <f>IF(COUNTBLANK(E261)=1," ",COUNTA($E$13:E261))</f>
        <v>226</v>
      </c>
      <c r="B261" s="157"/>
      <c r="C261" s="275" t="s">
        <v>141</v>
      </c>
      <c r="D261" s="158" t="s">
        <v>115</v>
      </c>
      <c r="E261" s="234">
        <f>1.304*1.15</f>
        <v>1.4996</v>
      </c>
      <c r="F261" s="155"/>
      <c r="G261" s="155"/>
      <c r="H261" s="159"/>
      <c r="I261" s="159"/>
      <c r="J261" s="159"/>
      <c r="K261" s="149"/>
      <c r="L261" s="150"/>
      <c r="M261" s="149"/>
      <c r="N261" s="149"/>
      <c r="O261" s="149"/>
      <c r="P261" s="151"/>
    </row>
    <row r="262" spans="1:16" s="160" customFormat="1" ht="52.8" x14ac:dyDescent="0.25">
      <c r="A262" s="144">
        <f>IF(COUNTBLANK(E262)=1," ",COUNTA($E$13:E262))</f>
        <v>227</v>
      </c>
      <c r="B262" s="157"/>
      <c r="C262" s="275" t="s">
        <v>142</v>
      </c>
      <c r="D262" s="158" t="s">
        <v>115</v>
      </c>
      <c r="E262" s="234">
        <f>1.377*1.15</f>
        <v>1.5835499999999998</v>
      </c>
      <c r="F262" s="155"/>
      <c r="G262" s="155"/>
      <c r="H262" s="159"/>
      <c r="I262" s="159"/>
      <c r="J262" s="159"/>
      <c r="K262" s="149"/>
      <c r="L262" s="150"/>
      <c r="M262" s="149"/>
      <c r="N262" s="149"/>
      <c r="O262" s="149"/>
      <c r="P262" s="151"/>
    </row>
    <row r="263" spans="1:16" s="160" customFormat="1" ht="52.8" x14ac:dyDescent="0.25">
      <c r="A263" s="144">
        <f>IF(COUNTBLANK(E263)=1," ",COUNTA($E$13:E263))</f>
        <v>228</v>
      </c>
      <c r="B263" s="157"/>
      <c r="C263" s="275" t="s">
        <v>143</v>
      </c>
      <c r="D263" s="158" t="s">
        <v>115</v>
      </c>
      <c r="E263" s="234">
        <f>1.922*1.15</f>
        <v>2.2102999999999997</v>
      </c>
      <c r="F263" s="155"/>
      <c r="G263" s="155"/>
      <c r="H263" s="159"/>
      <c r="I263" s="159"/>
      <c r="J263" s="159"/>
      <c r="K263" s="149"/>
      <c r="L263" s="150"/>
      <c r="M263" s="149"/>
      <c r="N263" s="149"/>
      <c r="O263" s="149"/>
      <c r="P263" s="151"/>
    </row>
    <row r="264" spans="1:16" ht="15.6" x14ac:dyDescent="0.25">
      <c r="A264" s="144" t="str">
        <f>IF(COUNTBLANK(E264)=1," ",COUNTA($E$13:E264))</f>
        <v xml:space="preserve"> </v>
      </c>
      <c r="B264" s="211">
        <v>0</v>
      </c>
      <c r="C264" s="282" t="s">
        <v>144</v>
      </c>
      <c r="D264" s="14"/>
      <c r="E264" s="14"/>
      <c r="F264" s="212"/>
      <c r="G264" s="213"/>
      <c r="H264" s="156"/>
      <c r="I264" s="213"/>
      <c r="J264" s="213"/>
      <c r="K264" s="213"/>
      <c r="L264" s="212"/>
      <c r="M264" s="213"/>
      <c r="N264" s="213"/>
      <c r="O264" s="213"/>
      <c r="P264" s="214"/>
    </row>
    <row r="265" spans="1:16" s="160" customFormat="1" ht="66" x14ac:dyDescent="0.25">
      <c r="A265" s="144">
        <f>IF(COUNTBLANK(E265)=1," ",COUNTA($E$13:E265))</f>
        <v>229</v>
      </c>
      <c r="B265" s="161"/>
      <c r="C265" s="162" t="s">
        <v>145</v>
      </c>
      <c r="D265" s="163" t="s">
        <v>95</v>
      </c>
      <c r="E265" s="279">
        <v>39.71</v>
      </c>
      <c r="F265" s="155"/>
      <c r="G265" s="155"/>
      <c r="H265" s="159"/>
      <c r="I265" s="159"/>
      <c r="J265" s="159"/>
      <c r="K265" s="149"/>
      <c r="L265" s="150"/>
      <c r="M265" s="149"/>
      <c r="N265" s="149"/>
      <c r="O265" s="149"/>
      <c r="P265" s="151"/>
    </row>
    <row r="266" spans="1:16" s="160" customFormat="1" ht="66" x14ac:dyDescent="0.25">
      <c r="A266" s="144">
        <f>IF(COUNTBLANK(E266)=1," ",COUNTA($E$13:E266))</f>
        <v>230</v>
      </c>
      <c r="B266" s="161"/>
      <c r="C266" s="162" t="s">
        <v>146</v>
      </c>
      <c r="D266" s="163" t="s">
        <v>95</v>
      </c>
      <c r="E266" s="279">
        <v>69.900000000000006</v>
      </c>
      <c r="F266" s="155"/>
      <c r="G266" s="155"/>
      <c r="H266" s="159"/>
      <c r="I266" s="159"/>
      <c r="J266" s="159"/>
      <c r="K266" s="149"/>
      <c r="L266" s="150"/>
      <c r="M266" s="149"/>
      <c r="N266" s="149"/>
      <c r="O266" s="149"/>
      <c r="P266" s="151"/>
    </row>
    <row r="267" spans="1:16" ht="15.6" x14ac:dyDescent="0.25">
      <c r="A267" s="144" t="str">
        <f>IF(COUNTBLANK(E267)=1," ",COUNTA($E$13:E267))</f>
        <v xml:space="preserve"> </v>
      </c>
      <c r="B267" s="211">
        <v>0</v>
      </c>
      <c r="C267" s="217" t="s">
        <v>151</v>
      </c>
      <c r="D267" s="14"/>
      <c r="E267" s="14"/>
      <c r="F267" s="212"/>
      <c r="G267" s="213"/>
      <c r="H267" s="156"/>
      <c r="I267" s="213"/>
      <c r="J267" s="213"/>
      <c r="K267" s="213"/>
      <c r="L267" s="212"/>
      <c r="M267" s="213"/>
      <c r="N267" s="213"/>
      <c r="O267" s="213"/>
      <c r="P267" s="214"/>
    </row>
    <row r="268" spans="1:16" ht="26.4" x14ac:dyDescent="0.25">
      <c r="A268" s="144">
        <f>IF(COUNTBLANK(E268)=1," ",COUNTA($E$13:E268))</f>
        <v>231</v>
      </c>
      <c r="B268" s="211"/>
      <c r="C268" s="162" t="s">
        <v>150</v>
      </c>
      <c r="D268" s="163" t="s">
        <v>75</v>
      </c>
      <c r="E268" s="279">
        <v>133</v>
      </c>
      <c r="F268" s="212"/>
      <c r="G268" s="213"/>
      <c r="H268" s="156"/>
      <c r="I268" s="213"/>
      <c r="J268" s="213"/>
      <c r="K268" s="213"/>
      <c r="L268" s="212"/>
      <c r="M268" s="213"/>
      <c r="N268" s="213"/>
      <c r="O268" s="213"/>
      <c r="P268" s="214"/>
    </row>
    <row r="269" spans="1:16" ht="15.6" x14ac:dyDescent="0.25">
      <c r="A269" s="144" t="str">
        <f>IF(COUNTBLANK(E269)=1," ",COUNTA($E$13:E269))</f>
        <v xml:space="preserve"> </v>
      </c>
      <c r="B269" s="211">
        <v>0</v>
      </c>
      <c r="C269" s="282" t="s">
        <v>102</v>
      </c>
      <c r="D269" s="14"/>
      <c r="E269" s="14"/>
      <c r="F269" s="212"/>
      <c r="G269" s="213"/>
      <c r="H269" s="156"/>
      <c r="I269" s="213"/>
      <c r="J269" s="213"/>
      <c r="K269" s="213"/>
      <c r="L269" s="212"/>
      <c r="M269" s="213"/>
      <c r="N269" s="213"/>
      <c r="O269" s="213"/>
      <c r="P269" s="214"/>
    </row>
    <row r="270" spans="1:16" s="45" customFormat="1" ht="66" x14ac:dyDescent="0.25">
      <c r="A270" s="144">
        <f>IF(COUNTBLANK(E270)=1," ",COUNTA($E$13:E270))</f>
        <v>232</v>
      </c>
      <c r="B270" s="211"/>
      <c r="C270" s="162" t="s">
        <v>152</v>
      </c>
      <c r="D270" s="163" t="s">
        <v>29</v>
      </c>
      <c r="E270" s="236">
        <v>2633.2</v>
      </c>
      <c r="F270" s="155"/>
      <c r="G270" s="155"/>
      <c r="H270" s="156"/>
      <c r="I270" s="156"/>
      <c r="J270" s="156"/>
      <c r="K270" s="149"/>
      <c r="L270" s="150"/>
      <c r="M270" s="149"/>
      <c r="N270" s="149"/>
      <c r="O270" s="149"/>
      <c r="P270" s="151"/>
    </row>
    <row r="271" spans="1:16" s="45" customFormat="1" x14ac:dyDescent="0.25">
      <c r="A271" s="144">
        <f>IF(COUNTBLANK(E271)=1," ",COUNTA($E$13:E271))</f>
        <v>233</v>
      </c>
      <c r="B271" s="211"/>
      <c r="C271" s="162" t="s">
        <v>153</v>
      </c>
      <c r="D271" s="163" t="s">
        <v>100</v>
      </c>
      <c r="E271" s="237">
        <v>15</v>
      </c>
      <c r="F271" s="155"/>
      <c r="G271" s="155"/>
      <c r="H271" s="156"/>
      <c r="I271" s="156"/>
      <c r="J271" s="156"/>
      <c r="K271" s="149"/>
      <c r="L271" s="150"/>
      <c r="M271" s="149"/>
      <c r="N271" s="149"/>
      <c r="O271" s="149"/>
      <c r="P271" s="151"/>
    </row>
    <row r="272" spans="1:16" s="45" customFormat="1" x14ac:dyDescent="0.25">
      <c r="A272" s="144">
        <f>IF(COUNTBLANK(E272)=1," ",COUNTA($E$13:E272))</f>
        <v>234</v>
      </c>
      <c r="B272" s="211"/>
      <c r="C272" s="162" t="s">
        <v>103</v>
      </c>
      <c r="D272" s="163" t="s">
        <v>75</v>
      </c>
      <c r="E272" s="236">
        <v>79</v>
      </c>
      <c r="F272" s="155"/>
      <c r="G272" s="155"/>
      <c r="H272" s="156"/>
      <c r="I272" s="156"/>
      <c r="J272" s="156"/>
      <c r="K272" s="149"/>
      <c r="L272" s="150"/>
      <c r="M272" s="149"/>
      <c r="N272" s="149"/>
      <c r="O272" s="149"/>
      <c r="P272" s="151"/>
    </row>
    <row r="273" spans="1:16" s="45" customFormat="1" x14ac:dyDescent="0.25">
      <c r="A273" s="144">
        <f>IF(COUNTBLANK(E273)=1," ",COUNTA($E$13:E273))</f>
        <v>235</v>
      </c>
      <c r="B273" s="211"/>
      <c r="C273" s="162" t="s">
        <v>209</v>
      </c>
      <c r="D273" s="163" t="s">
        <v>75</v>
      </c>
      <c r="E273" s="236">
        <v>67</v>
      </c>
      <c r="F273" s="155"/>
      <c r="G273" s="155"/>
      <c r="H273" s="156"/>
      <c r="I273" s="156"/>
      <c r="J273" s="156"/>
      <c r="K273" s="149"/>
      <c r="L273" s="150"/>
      <c r="M273" s="149"/>
      <c r="N273" s="149"/>
      <c r="O273" s="149"/>
      <c r="P273" s="151"/>
    </row>
    <row r="274" spans="1:16" s="45" customFormat="1" x14ac:dyDescent="0.25">
      <c r="A274" s="144">
        <f>IF(COUNTBLANK(E274)=1," ",COUNTA($E$13:E274))</f>
        <v>236</v>
      </c>
      <c r="B274" s="211"/>
      <c r="C274" s="270" t="s">
        <v>273</v>
      </c>
      <c r="D274" s="263" t="s">
        <v>78</v>
      </c>
      <c r="E274" s="271">
        <v>1</v>
      </c>
      <c r="F274" s="155"/>
      <c r="G274" s="155"/>
      <c r="H274" s="156"/>
      <c r="I274" s="156"/>
      <c r="J274" s="156"/>
      <c r="K274" s="149"/>
      <c r="L274" s="150"/>
      <c r="M274" s="149"/>
      <c r="N274" s="149"/>
      <c r="O274" s="149"/>
      <c r="P274" s="151"/>
    </row>
    <row r="275" spans="1:16" ht="15.6" x14ac:dyDescent="0.25">
      <c r="A275" s="144" t="str">
        <f>IF(COUNTBLANK(E275)=1," ",COUNTA($E$13:E275))</f>
        <v xml:space="preserve"> </v>
      </c>
      <c r="B275" s="211">
        <v>0</v>
      </c>
      <c r="C275" s="282" t="s">
        <v>154</v>
      </c>
      <c r="D275" s="14"/>
      <c r="E275" s="14"/>
      <c r="F275" s="212"/>
      <c r="G275" s="213"/>
      <c r="H275" s="156"/>
      <c r="I275" s="213"/>
      <c r="J275" s="213"/>
      <c r="K275" s="213"/>
      <c r="L275" s="212"/>
      <c r="M275" s="213"/>
      <c r="N275" s="213"/>
      <c r="O275" s="213"/>
      <c r="P275" s="214"/>
    </row>
    <row r="276" spans="1:16" ht="15.6" x14ac:dyDescent="0.25">
      <c r="A276" s="144" t="str">
        <f>IF(COUNTBLANK(E276)=1," ",COUNTA($E$13:E276))</f>
        <v xml:space="preserve"> </v>
      </c>
      <c r="B276" s="211"/>
      <c r="C276" s="217" t="s">
        <v>163</v>
      </c>
      <c r="D276" s="14"/>
      <c r="E276" s="14"/>
      <c r="F276" s="212"/>
      <c r="G276" s="213"/>
      <c r="H276" s="156"/>
      <c r="I276" s="213"/>
      <c r="J276" s="213"/>
      <c r="K276" s="213"/>
      <c r="L276" s="212"/>
      <c r="M276" s="213"/>
      <c r="N276" s="213"/>
      <c r="O276" s="213"/>
      <c r="P276" s="214"/>
    </row>
    <row r="277" spans="1:16" x14ac:dyDescent="0.25">
      <c r="A277" s="144">
        <f>IF(COUNTBLANK(E277)=1," ",COUNTA($E$13:E277))</f>
        <v>237</v>
      </c>
      <c r="B277" s="211"/>
      <c r="C277" s="270" t="s">
        <v>272</v>
      </c>
      <c r="D277" s="14" t="s">
        <v>75</v>
      </c>
      <c r="E277" s="14">
        <v>240</v>
      </c>
      <c r="F277" s="212"/>
      <c r="G277" s="213"/>
      <c r="H277" s="156"/>
      <c r="I277" s="213"/>
      <c r="J277" s="213"/>
      <c r="K277" s="213"/>
      <c r="L277" s="212"/>
      <c r="M277" s="213"/>
      <c r="N277" s="213"/>
      <c r="O277" s="213"/>
      <c r="P277" s="214"/>
    </row>
    <row r="278" spans="1:16" ht="26.4" x14ac:dyDescent="0.25">
      <c r="A278" s="144">
        <f>IF(COUNTBLANK(E278)=1," ",COUNTA($E$13:E278))</f>
        <v>238</v>
      </c>
      <c r="B278" s="222"/>
      <c r="C278" s="270" t="s">
        <v>166</v>
      </c>
      <c r="D278" s="221" t="s">
        <v>29</v>
      </c>
      <c r="E278" s="271">
        <v>553.4</v>
      </c>
      <c r="F278" s="212"/>
      <c r="G278" s="213"/>
      <c r="H278" s="156"/>
      <c r="I278" s="213"/>
      <c r="J278" s="213"/>
      <c r="K278" s="213"/>
      <c r="L278" s="212"/>
      <c r="M278" s="213"/>
      <c r="N278" s="213"/>
      <c r="O278" s="213"/>
      <c r="P278" s="214"/>
    </row>
    <row r="279" spans="1:16" x14ac:dyDescent="0.25">
      <c r="A279" s="144">
        <f>IF(COUNTBLANK(E279)=1," ",COUNTA($E$13:E279))</f>
        <v>239</v>
      </c>
      <c r="B279" s="222"/>
      <c r="C279" s="270" t="s">
        <v>273</v>
      </c>
      <c r="D279" s="263" t="s">
        <v>78</v>
      </c>
      <c r="E279" s="271">
        <v>1</v>
      </c>
      <c r="F279" s="212"/>
      <c r="G279" s="213"/>
      <c r="H279" s="156"/>
      <c r="I279" s="213"/>
      <c r="J279" s="213"/>
      <c r="K279" s="213"/>
      <c r="L279" s="212"/>
      <c r="M279" s="213"/>
      <c r="N279" s="213"/>
      <c r="O279" s="213"/>
      <c r="P279" s="214"/>
    </row>
    <row r="280" spans="1:16" ht="15.6" x14ac:dyDescent="0.25">
      <c r="A280" s="144" t="str">
        <f>IF(COUNTBLANK(E280)=1," ",COUNTA($E$13:E280))</f>
        <v xml:space="preserve"> </v>
      </c>
      <c r="B280" s="211"/>
      <c r="C280" s="217" t="s">
        <v>155</v>
      </c>
      <c r="D280" s="14"/>
      <c r="E280" s="14"/>
      <c r="F280" s="212"/>
      <c r="G280" s="213"/>
      <c r="H280" s="156"/>
      <c r="I280" s="213"/>
      <c r="J280" s="213"/>
      <c r="K280" s="213"/>
      <c r="L280" s="212"/>
      <c r="M280" s="213"/>
      <c r="N280" s="213"/>
      <c r="O280" s="213"/>
      <c r="P280" s="214"/>
    </row>
    <row r="281" spans="1:16" ht="52.8" x14ac:dyDescent="0.25">
      <c r="A281" s="144">
        <f>IF(COUNTBLANK(E281)=1," ",COUNTA($E$13:E281))</f>
        <v>240</v>
      </c>
      <c r="B281" s="222"/>
      <c r="C281" s="270" t="s">
        <v>287</v>
      </c>
      <c r="D281" s="221" t="s">
        <v>29</v>
      </c>
      <c r="E281" s="276">
        <v>85.4</v>
      </c>
      <c r="F281" s="212"/>
      <c r="G281" s="213"/>
      <c r="H281" s="156"/>
      <c r="I281" s="213"/>
      <c r="J281" s="213"/>
      <c r="K281" s="213"/>
      <c r="L281" s="212"/>
      <c r="M281" s="213"/>
      <c r="N281" s="213"/>
      <c r="O281" s="213"/>
      <c r="P281" s="214"/>
    </row>
    <row r="282" spans="1:16" ht="15.6" x14ac:dyDescent="0.25">
      <c r="A282" s="144" t="str">
        <f>IF(COUNTBLANK(E282)=1," ",COUNTA($E$13:E282))</f>
        <v xml:space="preserve"> </v>
      </c>
      <c r="B282" s="211"/>
      <c r="C282" s="217" t="s">
        <v>300</v>
      </c>
      <c r="D282" s="14"/>
      <c r="E282" s="14"/>
      <c r="F282" s="212"/>
      <c r="G282" s="213"/>
      <c r="H282" s="156"/>
      <c r="I282" s="213"/>
      <c r="J282" s="213"/>
      <c r="K282" s="213"/>
      <c r="L282" s="212"/>
      <c r="M282" s="213"/>
      <c r="N282" s="213"/>
      <c r="O282" s="213"/>
      <c r="P282" s="214"/>
    </row>
    <row r="283" spans="1:16" s="45" customFormat="1" ht="39.6" x14ac:dyDescent="0.25">
      <c r="A283" s="144">
        <f>IF(COUNTBLANK(E283)=1," ",COUNTA($E$13:E283))</f>
        <v>241</v>
      </c>
      <c r="B283" s="220"/>
      <c r="C283" s="162" t="s">
        <v>114</v>
      </c>
      <c r="D283" s="158" t="s">
        <v>115</v>
      </c>
      <c r="E283" s="234">
        <v>0.3</v>
      </c>
      <c r="F283" s="155"/>
      <c r="G283" s="155"/>
      <c r="H283" s="156"/>
      <c r="I283" s="156"/>
      <c r="J283" s="156"/>
      <c r="K283" s="149"/>
      <c r="L283" s="150"/>
      <c r="M283" s="149"/>
      <c r="N283" s="149"/>
      <c r="O283" s="149"/>
      <c r="P283" s="151"/>
    </row>
    <row r="284" spans="1:16" s="45" customFormat="1" ht="26.4" x14ac:dyDescent="0.25">
      <c r="A284" s="144">
        <f>IF(COUNTBLANK(E284)=1," ",COUNTA($E$13:E284))</f>
        <v>242</v>
      </c>
      <c r="B284" s="215"/>
      <c r="C284" s="272" t="s">
        <v>294</v>
      </c>
      <c r="D284" s="158" t="s">
        <v>115</v>
      </c>
      <c r="E284" s="234">
        <f>E283*1.15</f>
        <v>0.34499999999999997</v>
      </c>
      <c r="F284" s="155"/>
      <c r="G284" s="155"/>
      <c r="H284" s="156"/>
      <c r="I284" s="156"/>
      <c r="J284" s="156"/>
      <c r="K284" s="149"/>
      <c r="L284" s="150"/>
      <c r="M284" s="149"/>
      <c r="N284" s="149"/>
      <c r="O284" s="149"/>
      <c r="P284" s="151"/>
    </row>
    <row r="285" spans="1:16" s="45" customFormat="1" ht="26.4" x14ac:dyDescent="0.25">
      <c r="A285" s="144">
        <f>IF(COUNTBLANK(E285)=1," ",COUNTA($E$13:E285))</f>
        <v>243</v>
      </c>
      <c r="B285" s="215"/>
      <c r="C285" s="272" t="s">
        <v>295</v>
      </c>
      <c r="D285" s="154" t="s">
        <v>78</v>
      </c>
      <c r="E285" s="234">
        <v>1</v>
      </c>
      <c r="F285" s="155"/>
      <c r="G285" s="155"/>
      <c r="H285" s="156"/>
      <c r="I285" s="156"/>
      <c r="J285" s="156"/>
      <c r="K285" s="149"/>
      <c r="L285" s="150"/>
      <c r="M285" s="149"/>
      <c r="N285" s="149"/>
      <c r="O285" s="149"/>
      <c r="P285" s="151"/>
    </row>
    <row r="286" spans="1:16" s="45" customFormat="1" x14ac:dyDescent="0.25">
      <c r="A286" s="144">
        <f>IF(COUNTBLANK(E286)=1," ",COUNTA($E$13:E286))</f>
        <v>244</v>
      </c>
      <c r="B286" s="215"/>
      <c r="C286" s="162" t="s">
        <v>288</v>
      </c>
      <c r="D286" s="263" t="s">
        <v>29</v>
      </c>
      <c r="E286" s="234">
        <v>24</v>
      </c>
      <c r="F286" s="155"/>
      <c r="G286" s="155"/>
      <c r="H286" s="156"/>
      <c r="I286" s="156"/>
      <c r="J286" s="156"/>
      <c r="K286" s="149"/>
      <c r="L286" s="150"/>
      <c r="M286" s="149"/>
      <c r="N286" s="149"/>
      <c r="O286" s="149"/>
      <c r="P286" s="151"/>
    </row>
    <row r="287" spans="1:16" s="45" customFormat="1" x14ac:dyDescent="0.25">
      <c r="A287" s="144">
        <f>IF(COUNTBLANK(E287)=1," ",COUNTA($E$13:E287))</f>
        <v>245</v>
      </c>
      <c r="B287" s="215"/>
      <c r="C287" s="272" t="s">
        <v>289</v>
      </c>
      <c r="D287" s="158" t="s">
        <v>29</v>
      </c>
      <c r="E287" s="233">
        <f>E286</f>
        <v>24</v>
      </c>
      <c r="F287" s="155"/>
      <c r="G287" s="155"/>
      <c r="H287" s="156"/>
      <c r="I287" s="156"/>
      <c r="J287" s="156"/>
      <c r="K287" s="149"/>
      <c r="L287" s="150"/>
      <c r="M287" s="149"/>
      <c r="N287" s="149"/>
      <c r="O287" s="149"/>
      <c r="P287" s="151"/>
    </row>
    <row r="288" spans="1:16" s="45" customFormat="1" ht="39.6" x14ac:dyDescent="0.25">
      <c r="A288" s="144">
        <f>IF(COUNTBLANK(E288)=1," ",COUNTA($E$13:E288))</f>
        <v>246</v>
      </c>
      <c r="B288" s="215"/>
      <c r="C288" s="272" t="s">
        <v>290</v>
      </c>
      <c r="D288" s="158" t="s">
        <v>29</v>
      </c>
      <c r="E288" s="233">
        <f>E286</f>
        <v>24</v>
      </c>
      <c r="F288" s="155"/>
      <c r="G288" s="155"/>
      <c r="H288" s="156"/>
      <c r="I288" s="156"/>
      <c r="J288" s="156"/>
      <c r="K288" s="149"/>
      <c r="L288" s="150"/>
      <c r="M288" s="149"/>
      <c r="N288" s="149"/>
      <c r="O288" s="149"/>
      <c r="P288" s="151"/>
    </row>
    <row r="289" spans="1:69" s="45" customFormat="1" ht="26.4" x14ac:dyDescent="0.25">
      <c r="A289" s="144">
        <f>IF(COUNTBLANK(E289)=1," ",COUNTA($E$13:E289))</f>
        <v>247</v>
      </c>
      <c r="B289" s="215"/>
      <c r="C289" s="162" t="s">
        <v>299</v>
      </c>
      <c r="D289" s="221" t="s">
        <v>95</v>
      </c>
      <c r="E289" s="234">
        <v>2.71</v>
      </c>
      <c r="F289" s="155"/>
      <c r="G289" s="155"/>
      <c r="H289" s="156"/>
      <c r="I289" s="156"/>
      <c r="J289" s="156"/>
      <c r="K289" s="149"/>
      <c r="L289" s="150"/>
      <c r="M289" s="149"/>
      <c r="N289" s="149"/>
      <c r="O289" s="149"/>
      <c r="P289" s="151"/>
    </row>
    <row r="290" spans="1:69" s="267" customFormat="1" ht="13.2" x14ac:dyDescent="0.2">
      <c r="A290" s="144">
        <f>IF(COUNTBLANK(E290)=1," ",COUNTA($E$13:E290))</f>
        <v>248</v>
      </c>
      <c r="B290" s="280"/>
      <c r="C290" s="272" t="s">
        <v>296</v>
      </c>
      <c r="D290" s="158" t="s">
        <v>95</v>
      </c>
      <c r="E290" s="233">
        <f>ROUND(E289*1.1,2)</f>
        <v>2.98</v>
      </c>
      <c r="F290" s="155"/>
      <c r="G290" s="155"/>
      <c r="H290" s="156"/>
      <c r="I290" s="156"/>
      <c r="J290" s="156"/>
      <c r="K290" s="149"/>
      <c r="L290" s="150"/>
      <c r="M290" s="149"/>
      <c r="N290" s="149"/>
      <c r="O290" s="149"/>
      <c r="P290" s="151"/>
      <c r="Q290" s="264"/>
      <c r="R290" s="264"/>
      <c r="S290" s="264"/>
      <c r="T290" s="265"/>
      <c r="U290" s="266"/>
      <c r="V290" s="266"/>
      <c r="W290" s="266"/>
      <c r="X290" s="266"/>
      <c r="Y290" s="266"/>
      <c r="Z290" s="266"/>
      <c r="AA290" s="266"/>
      <c r="AB290" s="266"/>
      <c r="AC290" s="266"/>
      <c r="AD290" s="266"/>
      <c r="AE290" s="266"/>
      <c r="AF290" s="266"/>
      <c r="AG290" s="266"/>
      <c r="AH290" s="266"/>
      <c r="AI290" s="266"/>
      <c r="AJ290" s="266"/>
      <c r="AK290" s="266"/>
      <c r="AL290" s="266"/>
      <c r="AM290" s="266"/>
      <c r="AN290" s="266"/>
      <c r="AO290" s="266"/>
      <c r="AP290" s="266"/>
      <c r="AQ290" s="266"/>
      <c r="AR290" s="266"/>
      <c r="AS290" s="266"/>
      <c r="AT290" s="266"/>
      <c r="AU290" s="266"/>
      <c r="AV290" s="266"/>
      <c r="AW290" s="266"/>
      <c r="AX290" s="266"/>
      <c r="AY290" s="266"/>
      <c r="AZ290" s="266"/>
      <c r="BA290" s="266"/>
      <c r="BB290" s="266"/>
      <c r="BC290" s="266"/>
      <c r="BD290" s="266"/>
      <c r="BE290" s="266"/>
      <c r="BF290" s="266"/>
      <c r="BG290" s="266"/>
      <c r="BH290" s="266"/>
      <c r="BI290" s="266"/>
      <c r="BJ290" s="266"/>
      <c r="BK290" s="266"/>
      <c r="BL290" s="266"/>
      <c r="BM290" s="266"/>
      <c r="BN290" s="266"/>
    </row>
    <row r="291" spans="1:69" s="267" customFormat="1" ht="13.2" x14ac:dyDescent="0.2">
      <c r="A291" s="144">
        <f>IF(COUNTBLANK(E291)=1," ",COUNTA($E$13:E291))</f>
        <v>249</v>
      </c>
      <c r="B291" s="280"/>
      <c r="C291" s="272" t="s">
        <v>291</v>
      </c>
      <c r="D291" s="158" t="s">
        <v>292</v>
      </c>
      <c r="E291" s="233">
        <f>ROUND(E290/8*1,2)</f>
        <v>0.37</v>
      </c>
      <c r="F291" s="155"/>
      <c r="G291" s="155"/>
      <c r="H291" s="156"/>
      <c r="I291" s="156"/>
      <c r="J291" s="156"/>
      <c r="K291" s="149"/>
      <c r="L291" s="150"/>
      <c r="M291" s="149"/>
      <c r="N291" s="149"/>
      <c r="O291" s="149"/>
      <c r="P291" s="151"/>
      <c r="Q291" s="264"/>
      <c r="R291" s="264"/>
      <c r="S291" s="264"/>
      <c r="T291" s="265"/>
      <c r="U291" s="266"/>
      <c r="V291" s="266"/>
      <c r="W291" s="266"/>
      <c r="X291" s="266"/>
      <c r="Y291" s="266"/>
      <c r="Z291" s="266"/>
      <c r="AA291" s="266"/>
      <c r="AB291" s="266"/>
      <c r="AC291" s="266"/>
      <c r="AD291" s="266"/>
      <c r="AE291" s="266"/>
      <c r="AF291" s="266"/>
      <c r="AG291" s="266"/>
      <c r="AH291" s="266"/>
      <c r="AI291" s="266"/>
      <c r="AJ291" s="266"/>
      <c r="AK291" s="266"/>
      <c r="AL291" s="266"/>
      <c r="AM291" s="266"/>
      <c r="AN291" s="266"/>
      <c r="AO291" s="266"/>
      <c r="AP291" s="266"/>
      <c r="AQ291" s="266"/>
      <c r="AR291" s="266"/>
      <c r="AS291" s="266"/>
      <c r="AT291" s="266"/>
      <c r="AU291" s="266"/>
      <c r="AV291" s="266"/>
      <c r="AW291" s="266"/>
      <c r="AX291" s="266"/>
      <c r="AY291" s="266"/>
      <c r="AZ291" s="266"/>
      <c r="BA291" s="266"/>
      <c r="BB291" s="266"/>
      <c r="BC291" s="266"/>
      <c r="BD291" s="266"/>
      <c r="BE291" s="266"/>
      <c r="BF291" s="266"/>
      <c r="BG291" s="266"/>
      <c r="BH291" s="266"/>
      <c r="BI291" s="266"/>
      <c r="BJ291" s="266"/>
      <c r="BK291" s="266"/>
      <c r="BL291" s="266"/>
      <c r="BM291" s="266"/>
      <c r="BN291" s="266"/>
    </row>
    <row r="292" spans="1:69" s="267" customFormat="1" ht="13.2" x14ac:dyDescent="0.2">
      <c r="A292" s="144">
        <f>IF(COUNTBLANK(E292)=1," ",COUNTA($E$13:E292))</f>
        <v>250</v>
      </c>
      <c r="B292" s="280"/>
      <c r="C292" s="272" t="s">
        <v>293</v>
      </c>
      <c r="D292" s="158" t="s">
        <v>292</v>
      </c>
      <c r="E292" s="233">
        <f>ROUND(E290/8*2,2)</f>
        <v>0.75</v>
      </c>
      <c r="F292" s="155"/>
      <c r="G292" s="155"/>
      <c r="H292" s="156"/>
      <c r="I292" s="156"/>
      <c r="J292" s="156"/>
      <c r="K292" s="149"/>
      <c r="L292" s="150"/>
      <c r="M292" s="149"/>
      <c r="N292" s="149"/>
      <c r="O292" s="149"/>
      <c r="P292" s="151"/>
      <c r="Q292" s="264"/>
      <c r="R292" s="264"/>
      <c r="S292" s="264"/>
      <c r="T292" s="265"/>
      <c r="U292" s="266"/>
      <c r="V292" s="266"/>
      <c r="W292" s="266"/>
      <c r="X292" s="266"/>
      <c r="Y292" s="266"/>
      <c r="Z292" s="266"/>
      <c r="AA292" s="266"/>
      <c r="AB292" s="266"/>
      <c r="AC292" s="266"/>
      <c r="AD292" s="266"/>
      <c r="AE292" s="266"/>
      <c r="AF292" s="266"/>
      <c r="AG292" s="266"/>
      <c r="AH292" s="266"/>
      <c r="AI292" s="266"/>
      <c r="AJ292" s="266"/>
      <c r="AK292" s="266"/>
      <c r="AL292" s="266"/>
      <c r="AM292" s="266"/>
      <c r="AN292" s="266"/>
      <c r="AO292" s="266"/>
      <c r="AP292" s="266"/>
      <c r="AQ292" s="266"/>
      <c r="AR292" s="266"/>
      <c r="AS292" s="266"/>
      <c r="AT292" s="266"/>
      <c r="AU292" s="266"/>
      <c r="AV292" s="266"/>
      <c r="AW292" s="266"/>
      <c r="AX292" s="266"/>
      <c r="AY292" s="266"/>
      <c r="AZ292" s="266"/>
      <c r="BA292" s="266"/>
      <c r="BB292" s="266"/>
      <c r="BC292" s="266"/>
      <c r="BD292" s="266"/>
      <c r="BE292" s="266"/>
      <c r="BF292" s="266"/>
      <c r="BG292" s="266"/>
      <c r="BH292" s="266"/>
      <c r="BI292" s="266"/>
      <c r="BJ292" s="266"/>
      <c r="BK292" s="266"/>
      <c r="BL292" s="266"/>
      <c r="BM292" s="266"/>
      <c r="BN292" s="266"/>
    </row>
    <row r="293" spans="1:69" s="267" customFormat="1" ht="13.2" x14ac:dyDescent="0.2">
      <c r="A293" s="144">
        <f>IF(COUNTBLANK(E293)=1," ",COUNTA($E$13:E293))</f>
        <v>251</v>
      </c>
      <c r="B293" s="280"/>
      <c r="C293" s="272" t="s">
        <v>273</v>
      </c>
      <c r="D293" s="154" t="s">
        <v>78</v>
      </c>
      <c r="E293" s="233">
        <v>1</v>
      </c>
      <c r="F293" s="155"/>
      <c r="G293" s="155"/>
      <c r="H293" s="156"/>
      <c r="I293" s="156"/>
      <c r="J293" s="156"/>
      <c r="K293" s="149"/>
      <c r="L293" s="150"/>
      <c r="M293" s="149"/>
      <c r="N293" s="149"/>
      <c r="O293" s="149"/>
      <c r="P293" s="151"/>
      <c r="Q293" s="264"/>
      <c r="R293" s="264"/>
      <c r="S293" s="264"/>
      <c r="T293" s="268"/>
      <c r="U293" s="268"/>
      <c r="V293" s="268"/>
      <c r="W293" s="266"/>
      <c r="X293" s="266"/>
      <c r="Y293" s="266"/>
      <c r="Z293" s="266"/>
      <c r="AA293" s="266"/>
      <c r="AB293" s="266"/>
      <c r="AC293" s="266"/>
      <c r="AD293" s="266"/>
      <c r="AE293" s="266"/>
      <c r="AF293" s="266"/>
      <c r="AG293" s="266"/>
      <c r="AH293" s="266"/>
      <c r="AI293" s="266"/>
      <c r="AJ293" s="266"/>
      <c r="AK293" s="266"/>
      <c r="AL293" s="266"/>
      <c r="AM293" s="266"/>
      <c r="AN293" s="266"/>
      <c r="AO293" s="266"/>
      <c r="AP293" s="266"/>
      <c r="AQ293" s="266"/>
      <c r="AR293" s="266"/>
      <c r="AS293" s="266"/>
      <c r="AT293" s="266"/>
      <c r="AU293" s="266"/>
      <c r="AV293" s="266"/>
      <c r="AW293" s="266"/>
      <c r="AX293" s="266"/>
      <c r="AY293" s="266"/>
      <c r="AZ293" s="266"/>
      <c r="BA293" s="266"/>
      <c r="BB293" s="266"/>
      <c r="BC293" s="266"/>
      <c r="BD293" s="266"/>
      <c r="BE293" s="266"/>
      <c r="BF293" s="266"/>
      <c r="BG293" s="266"/>
      <c r="BH293" s="266"/>
      <c r="BI293" s="266"/>
      <c r="BJ293" s="266"/>
      <c r="BK293" s="266"/>
      <c r="BL293" s="266"/>
      <c r="BM293" s="266"/>
      <c r="BN293" s="266"/>
      <c r="BO293" s="266"/>
      <c r="BP293" s="266"/>
      <c r="BQ293" s="266"/>
    </row>
    <row r="294" spans="1:69" ht="15.6" x14ac:dyDescent="0.25">
      <c r="A294" s="144" t="str">
        <f>IF(COUNTBLANK(E294)=1," ",COUNTA($E$13:E294))</f>
        <v xml:space="preserve"> </v>
      </c>
      <c r="B294" s="211"/>
      <c r="C294" s="282" t="s">
        <v>156</v>
      </c>
      <c r="D294" s="14"/>
      <c r="E294" s="14"/>
      <c r="F294" s="212"/>
      <c r="G294" s="213"/>
      <c r="H294" s="156"/>
      <c r="I294" s="213"/>
      <c r="J294" s="213"/>
      <c r="K294" s="213"/>
      <c r="L294" s="212"/>
      <c r="M294" s="213"/>
      <c r="N294" s="213"/>
      <c r="O294" s="213"/>
      <c r="P294" s="214"/>
    </row>
    <row r="295" spans="1:69" s="45" customFormat="1" ht="92.4" x14ac:dyDescent="0.25">
      <c r="A295" s="144">
        <f>IF(COUNTBLANK(E295)=1," ",COUNTA($E$13:E295))</f>
        <v>252</v>
      </c>
      <c r="B295" s="211"/>
      <c r="C295" s="270" t="s">
        <v>157</v>
      </c>
      <c r="D295" s="277" t="s">
        <v>100</v>
      </c>
      <c r="E295" s="237">
        <v>4</v>
      </c>
      <c r="F295" s="155"/>
      <c r="G295" s="155"/>
      <c r="H295" s="156"/>
      <c r="I295" s="156"/>
      <c r="J295" s="156"/>
      <c r="K295" s="149"/>
      <c r="L295" s="150"/>
      <c r="M295" s="149"/>
      <c r="N295" s="149"/>
      <c r="O295" s="149"/>
      <c r="P295" s="151"/>
    </row>
    <row r="296" spans="1:69" s="45" customFormat="1" ht="92.4" x14ac:dyDescent="0.25">
      <c r="A296" s="144">
        <f>IF(COUNTBLANK(E296)=1," ",COUNTA($E$13:E296))</f>
        <v>253</v>
      </c>
      <c r="B296" s="211"/>
      <c r="C296" s="270" t="s">
        <v>158</v>
      </c>
      <c r="D296" s="277" t="s">
        <v>100</v>
      </c>
      <c r="E296" s="237">
        <v>4</v>
      </c>
      <c r="F296" s="155"/>
      <c r="G296" s="155"/>
      <c r="H296" s="156"/>
      <c r="I296" s="156"/>
      <c r="J296" s="156"/>
      <c r="K296" s="149"/>
      <c r="L296" s="150"/>
      <c r="M296" s="149"/>
      <c r="N296" s="149"/>
      <c r="O296" s="149"/>
      <c r="P296" s="151"/>
    </row>
    <row r="297" spans="1:69" s="45" customFormat="1" ht="92.4" x14ac:dyDescent="0.25">
      <c r="A297" s="144">
        <f>IF(COUNTBLANK(E297)=1," ",COUNTA($E$13:E297))</f>
        <v>254</v>
      </c>
      <c r="B297" s="211"/>
      <c r="C297" s="270" t="s">
        <v>286</v>
      </c>
      <c r="D297" s="277" t="s">
        <v>100</v>
      </c>
      <c r="E297" s="237">
        <v>2</v>
      </c>
      <c r="F297" s="155"/>
      <c r="G297" s="155"/>
      <c r="H297" s="156"/>
      <c r="I297" s="156"/>
      <c r="J297" s="156"/>
      <c r="K297" s="149"/>
      <c r="L297" s="150"/>
      <c r="M297" s="149"/>
      <c r="N297" s="149"/>
      <c r="O297" s="149"/>
      <c r="P297" s="151"/>
    </row>
    <row r="298" spans="1:69" s="45" customFormat="1" ht="26.4" x14ac:dyDescent="0.25">
      <c r="A298" s="144">
        <f>IF(COUNTBLANK(E298)=1," ",COUNTA($E$13:E298))</f>
        <v>255</v>
      </c>
      <c r="B298" s="211"/>
      <c r="C298" s="270" t="s">
        <v>167</v>
      </c>
      <c r="D298" s="277" t="s">
        <v>75</v>
      </c>
      <c r="E298" s="236">
        <v>108.4</v>
      </c>
      <c r="F298" s="155"/>
      <c r="G298" s="155"/>
      <c r="H298" s="156"/>
      <c r="I298" s="156"/>
      <c r="J298" s="156"/>
      <c r="K298" s="149"/>
      <c r="L298" s="150"/>
      <c r="M298" s="149"/>
      <c r="N298" s="149"/>
      <c r="O298" s="149"/>
      <c r="P298" s="151"/>
    </row>
    <row r="299" spans="1:69" s="45" customFormat="1" ht="15.6" x14ac:dyDescent="0.25">
      <c r="A299" s="144" t="str">
        <f>IF(COUNTBLANK(E299)=1," ",COUNTA($E$13:E299))</f>
        <v xml:space="preserve"> </v>
      </c>
      <c r="B299" s="211">
        <v>0</v>
      </c>
      <c r="C299" s="282" t="s">
        <v>237</v>
      </c>
      <c r="D299" s="14"/>
      <c r="E299" s="14"/>
      <c r="F299" s="155"/>
      <c r="G299" s="155"/>
      <c r="H299" s="156"/>
      <c r="I299" s="156"/>
      <c r="J299" s="156"/>
      <c r="K299" s="149"/>
      <c r="L299" s="150"/>
      <c r="M299" s="149"/>
      <c r="N299" s="149"/>
      <c r="O299" s="149"/>
      <c r="P299" s="151"/>
    </row>
    <row r="300" spans="1:69" s="45" customFormat="1" ht="26.4" x14ac:dyDescent="0.25">
      <c r="A300" s="144">
        <f>IF(COUNTBLANK(E300)=1," ",COUNTA($E$13:E300))</f>
        <v>256</v>
      </c>
      <c r="B300" s="211"/>
      <c r="C300" s="162" t="s">
        <v>271</v>
      </c>
      <c r="D300" s="163" t="s">
        <v>78</v>
      </c>
      <c r="E300" s="279">
        <v>1</v>
      </c>
      <c r="F300" s="155"/>
      <c r="G300" s="155"/>
      <c r="H300" s="156"/>
      <c r="I300" s="156"/>
      <c r="J300" s="156"/>
      <c r="K300" s="149"/>
      <c r="L300" s="150"/>
      <c r="M300" s="149"/>
      <c r="N300" s="149"/>
      <c r="O300" s="149"/>
      <c r="P300" s="151"/>
    </row>
    <row r="301" spans="1:69" s="45" customFormat="1" ht="14.4" x14ac:dyDescent="0.25">
      <c r="A301" s="223"/>
      <c r="B301" s="224"/>
      <c r="C301" s="225"/>
      <c r="D301" s="226"/>
      <c r="E301" s="227"/>
      <c r="F301" s="228"/>
      <c r="G301" s="228"/>
      <c r="H301" s="194"/>
      <c r="I301" s="194"/>
      <c r="J301" s="194"/>
      <c r="K301" s="229"/>
      <c r="L301" s="230"/>
      <c r="M301" s="229"/>
      <c r="N301" s="229"/>
      <c r="O301" s="229"/>
      <c r="P301" s="231"/>
    </row>
    <row r="302" spans="1:69" ht="15.3" customHeight="1" x14ac:dyDescent="0.25">
      <c r="A302" s="174"/>
      <c r="B302" s="174"/>
      <c r="C302" s="332" t="s">
        <v>70</v>
      </c>
      <c r="D302" s="333"/>
      <c r="E302" s="333"/>
      <c r="F302" s="333"/>
      <c r="G302" s="333"/>
      <c r="H302" s="333"/>
      <c r="I302" s="333"/>
      <c r="J302" s="333"/>
      <c r="K302" s="334"/>
      <c r="L302" s="176">
        <f>SUM(L13:L301)</f>
        <v>0</v>
      </c>
      <c r="M302" s="176">
        <f>SUM(M13:M301)</f>
        <v>0</v>
      </c>
      <c r="N302" s="176">
        <f>SUM(N13:N301)</f>
        <v>0</v>
      </c>
      <c r="O302" s="176">
        <f>SUM(O13:O301)</f>
        <v>0</v>
      </c>
      <c r="P302" s="176">
        <f>SUM(P13:P301)</f>
        <v>0</v>
      </c>
    </row>
    <row r="303" spans="1:69" s="101" customFormat="1" x14ac:dyDescent="0.25">
      <c r="I303" s="122"/>
    </row>
    <row r="304" spans="1:69" customFormat="1" ht="12.75" customHeight="1" x14ac:dyDescent="0.25">
      <c r="B304" s="123" t="str">
        <f>'1,1'!B29</f>
        <v>Piezīmes:</v>
      </c>
    </row>
    <row r="305" spans="1:16" customFormat="1" ht="45" customHeight="1" x14ac:dyDescent="0.25">
      <c r="A305" s="317"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305" s="317"/>
      <c r="C305" s="317"/>
      <c r="D305" s="317"/>
      <c r="E305" s="317"/>
      <c r="F305" s="317"/>
      <c r="G305" s="317"/>
      <c r="H305" s="317"/>
      <c r="I305" s="317"/>
      <c r="J305" s="317"/>
      <c r="K305" s="317"/>
      <c r="L305" s="317"/>
      <c r="M305" s="317"/>
      <c r="N305" s="317"/>
      <c r="O305" s="317"/>
      <c r="P305" s="317"/>
    </row>
    <row r="306" spans="1:16" customFormat="1" ht="79.5" customHeight="1" x14ac:dyDescent="0.25">
      <c r="A306" s="317"/>
      <c r="B306" s="317"/>
      <c r="C306" s="317"/>
      <c r="D306" s="317"/>
      <c r="E306" s="317"/>
      <c r="F306" s="317"/>
      <c r="G306" s="317"/>
      <c r="H306" s="317"/>
      <c r="I306" s="317"/>
      <c r="J306" s="317"/>
      <c r="K306" s="317"/>
      <c r="L306" s="317"/>
      <c r="M306" s="317"/>
      <c r="N306" s="317"/>
      <c r="O306" s="317"/>
      <c r="P306" s="317"/>
    </row>
    <row r="307" spans="1:16" customFormat="1" ht="12.75" customHeight="1" x14ac:dyDescent="0.25">
      <c r="B307" s="124"/>
    </row>
    <row r="308" spans="1:16" customFormat="1" ht="12.75" customHeight="1" x14ac:dyDescent="0.25">
      <c r="B308" s="124"/>
    </row>
    <row r="309" spans="1:16" s="101" customFormat="1" x14ac:dyDescent="0.25">
      <c r="B309" s="101" t="s">
        <v>8</v>
      </c>
      <c r="L309" s="129" t="str">
        <f>Koptame!B39</f>
        <v>Pārbaudīja:</v>
      </c>
      <c r="M309" s="129"/>
      <c r="N309" s="129"/>
      <c r="O309" s="129"/>
      <c r="P309" s="129"/>
    </row>
    <row r="310" spans="1:16" s="101" customFormat="1" ht="14.25" customHeight="1" x14ac:dyDescent="0.25">
      <c r="C310" s="121">
        <f>Koptame!C34</f>
        <v>0</v>
      </c>
      <c r="L310" s="121"/>
      <c r="M310" s="314">
        <f>Koptame!C40</f>
        <v>0</v>
      </c>
      <c r="N310" s="314"/>
      <c r="O310" s="129"/>
      <c r="P310" s="129"/>
    </row>
    <row r="311" spans="1:16" s="101" customFormat="1" x14ac:dyDescent="0.25">
      <c r="C311" s="120">
        <f>Koptame!C35</f>
        <v>0</v>
      </c>
      <c r="L311" s="120"/>
      <c r="M311" s="315">
        <f>Koptame!C41</f>
        <v>0</v>
      </c>
      <c r="N311" s="315"/>
      <c r="O311" s="129"/>
      <c r="P311" s="129"/>
    </row>
    <row r="312" spans="1:16" s="101" customFormat="1" collapsed="1" x14ac:dyDescent="0.25">
      <c r="B312" s="122"/>
      <c r="F312" s="122"/>
      <c r="G312" s="122"/>
    </row>
  </sheetData>
  <mergeCells count="17">
    <mergeCell ref="A2:P2"/>
    <mergeCell ref="D3:P3"/>
    <mergeCell ref="D4:P4"/>
    <mergeCell ref="D5:P5"/>
    <mergeCell ref="L9:O9"/>
    <mergeCell ref="M311:N311"/>
    <mergeCell ref="F11:K11"/>
    <mergeCell ref="L11:P11"/>
    <mergeCell ref="C302:K302"/>
    <mergeCell ref="A305:P305"/>
    <mergeCell ref="A306:P306"/>
    <mergeCell ref="M310:N310"/>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sheetPr>
  <dimension ref="A1:I39"/>
  <sheetViews>
    <sheetView showZeros="0" view="pageBreakPreview" zoomScaleNormal="100" zoomScaleSheetLayoutView="100" workbookViewId="0">
      <selection activeCell="G27" sqref="G27"/>
    </sheetView>
  </sheetViews>
  <sheetFormatPr defaultColWidth="9.109375" defaultRowHeight="13.2" x14ac:dyDescent="0.25"/>
  <cols>
    <col min="1" max="1" width="10.21875" style="52" customWidth="1"/>
    <col min="2" max="2" width="12.77734375" style="52" customWidth="1"/>
    <col min="3" max="3" width="32.77734375" style="52" customWidth="1"/>
    <col min="4" max="4" width="10" style="52" customWidth="1"/>
    <col min="5" max="5" width="13.21875" style="52" customWidth="1"/>
    <col min="6" max="6" width="13.77734375" style="52" customWidth="1"/>
    <col min="7" max="7" width="17.6640625" style="52" customWidth="1"/>
    <col min="8" max="8" width="12.88671875" style="52" customWidth="1"/>
    <col min="9" max="9" width="16" style="52" customWidth="1"/>
    <col min="10" max="16384" width="9.109375" style="52"/>
  </cols>
  <sheetData>
    <row r="1" spans="1:9" ht="17.399999999999999" x14ac:dyDescent="0.3">
      <c r="A1" s="51"/>
    </row>
    <row r="2" spans="1:9" ht="18" customHeight="1" x14ac:dyDescent="0.3">
      <c r="A2" s="299" t="s">
        <v>66</v>
      </c>
      <c r="B2" s="299"/>
      <c r="C2" s="299"/>
      <c r="D2" s="299"/>
      <c r="E2" s="299"/>
      <c r="F2" s="299"/>
      <c r="G2" s="299"/>
      <c r="H2" s="299"/>
      <c r="I2" s="299"/>
    </row>
    <row r="3" spans="1:9" ht="17.399999999999999" x14ac:dyDescent="0.25">
      <c r="C3" s="53"/>
      <c r="D3" s="54"/>
      <c r="F3" s="58"/>
      <c r="G3" s="58"/>
      <c r="H3" s="58"/>
      <c r="I3" s="58"/>
    </row>
    <row r="4" spans="1:9" ht="17.399999999999999" x14ac:dyDescent="0.25">
      <c r="C4" s="53"/>
      <c r="D4" s="54"/>
      <c r="F4" s="58"/>
      <c r="G4" s="58"/>
      <c r="H4" s="58"/>
      <c r="I4" s="58"/>
    </row>
    <row r="5" spans="1:9" x14ac:dyDescent="0.25">
      <c r="A5" s="57"/>
    </row>
    <row r="6" spans="1:9" ht="17.399999999999999" x14ac:dyDescent="0.3">
      <c r="A6" s="306" t="str">
        <f>Koptame!C22</f>
        <v>Specializētie darbi-iekšējie tīkli, sistēmas</v>
      </c>
      <c r="B6" s="307"/>
      <c r="C6" s="307"/>
      <c r="D6" s="307"/>
      <c r="E6" s="307"/>
      <c r="F6" s="307"/>
      <c r="G6" s="307"/>
      <c r="H6" s="307"/>
      <c r="I6" s="308"/>
    </row>
    <row r="7" spans="1:9" x14ac:dyDescent="0.25">
      <c r="A7" s="57"/>
    </row>
    <row r="8" spans="1:9" ht="15" x14ac:dyDescent="0.25">
      <c r="A8" s="309" t="s">
        <v>9</v>
      </c>
      <c r="B8" s="309"/>
      <c r="C8" s="293" t="str">
        <f>Koptame!C11</f>
        <v>Jaunlopu kūts</v>
      </c>
      <c r="D8" s="293"/>
      <c r="E8" s="293"/>
      <c r="F8" s="293"/>
      <c r="G8" s="293"/>
      <c r="H8" s="293"/>
      <c r="I8" s="293"/>
    </row>
    <row r="9" spans="1:9" ht="15.9" customHeight="1" x14ac:dyDescent="0.25">
      <c r="A9" s="298" t="s">
        <v>27</v>
      </c>
      <c r="B9" s="298"/>
      <c r="C9" s="293" t="str">
        <f>Koptame!C12</f>
        <v>Esošā šķūņa demontāža,jaunas jaunlopu kūts būvniecība un ceļu un laukumu izbūve īpašumā “Līci”,Sarkaņu pag.,Madonas nov.</v>
      </c>
      <c r="D9" s="293"/>
      <c r="E9" s="293"/>
      <c r="F9" s="293"/>
      <c r="G9" s="293"/>
      <c r="H9" s="293"/>
      <c r="I9" s="293"/>
    </row>
    <row r="10" spans="1:9" ht="15" x14ac:dyDescent="0.25">
      <c r="A10" s="298" t="s">
        <v>10</v>
      </c>
      <c r="B10" s="298"/>
      <c r="C10" s="293" t="str">
        <f>Koptame!C13</f>
        <v>“Līci”,Sarkaņu pag.,Madonas nov.</v>
      </c>
      <c r="D10" s="293"/>
      <c r="E10" s="293"/>
      <c r="F10" s="293"/>
      <c r="G10" s="293"/>
      <c r="H10" s="293"/>
      <c r="I10" s="293"/>
    </row>
    <row r="11" spans="1:9" ht="15" x14ac:dyDescent="0.25">
      <c r="A11" s="298" t="str">
        <f>Koptame!B14</f>
        <v>Pasūtījuma Nr.</v>
      </c>
      <c r="B11" s="298"/>
      <c r="C11" s="81" t="str">
        <f>Koptame!C14</f>
        <v xml:space="preserve"> L-25-10-45</v>
      </c>
      <c r="D11" s="58"/>
      <c r="F11" s="59"/>
      <c r="G11" s="59"/>
      <c r="H11" s="59"/>
      <c r="I11" s="59"/>
    </row>
    <row r="12" spans="1:9" ht="15.3" customHeight="1" x14ac:dyDescent="0.25">
      <c r="A12" s="79"/>
      <c r="B12" s="79"/>
      <c r="C12" s="58"/>
      <c r="D12" s="58"/>
      <c r="F12" s="59"/>
      <c r="G12" s="59"/>
      <c r="H12" s="59"/>
      <c r="I12" s="59"/>
    </row>
    <row r="13" spans="1:9" ht="18" customHeight="1" x14ac:dyDescent="0.25">
      <c r="A13" s="60"/>
      <c r="F13" s="302" t="s">
        <v>49</v>
      </c>
      <c r="G13" s="303"/>
      <c r="H13" s="55">
        <f>E28</f>
        <v>0</v>
      </c>
      <c r="I13" s="56"/>
    </row>
    <row r="14" spans="1:9" ht="17.399999999999999" x14ac:dyDescent="0.25">
      <c r="A14" s="60"/>
      <c r="F14" s="302" t="s">
        <v>14</v>
      </c>
      <c r="G14" s="303"/>
      <c r="H14" s="55">
        <f>I24</f>
        <v>0</v>
      </c>
      <c r="I14" s="56"/>
    </row>
    <row r="16" spans="1:9" ht="13.8" x14ac:dyDescent="0.25">
      <c r="G16" s="12"/>
      <c r="H16" s="12" t="str">
        <f>Koptame!D16</f>
        <v>Tāme sastādīta:  2026.gada 8.Aprīlī</v>
      </c>
    </row>
    <row r="17" spans="1:9" ht="15" x14ac:dyDescent="0.25">
      <c r="A17" s="61"/>
    </row>
    <row r="18" spans="1:9" ht="51.3" customHeight="1" x14ac:dyDescent="0.25">
      <c r="A18" s="294" t="s">
        <v>15</v>
      </c>
      <c r="B18" s="294" t="s">
        <v>16</v>
      </c>
      <c r="C18" s="310" t="s">
        <v>63</v>
      </c>
      <c r="D18" s="311"/>
      <c r="E18" s="294" t="s">
        <v>50</v>
      </c>
      <c r="F18" s="294" t="s">
        <v>17</v>
      </c>
      <c r="G18" s="294"/>
      <c r="H18" s="294"/>
      <c r="I18" s="294" t="s">
        <v>18</v>
      </c>
    </row>
    <row r="19" spans="1:9" ht="40.799999999999997" customHeight="1" x14ac:dyDescent="0.25">
      <c r="A19" s="294"/>
      <c r="B19" s="294"/>
      <c r="C19" s="312"/>
      <c r="D19" s="313"/>
      <c r="E19" s="294"/>
      <c r="F19" s="130" t="s">
        <v>51</v>
      </c>
      <c r="G19" s="130" t="s">
        <v>52</v>
      </c>
      <c r="H19" s="130" t="s">
        <v>53</v>
      </c>
      <c r="I19" s="294"/>
    </row>
    <row r="20" spans="1:9" ht="17.399999999999999" x14ac:dyDescent="0.25">
      <c r="A20" s="62"/>
      <c r="B20" s="63"/>
      <c r="C20" s="304"/>
      <c r="D20" s="305"/>
      <c r="E20" s="63"/>
      <c r="F20" s="63"/>
      <c r="G20" s="63"/>
      <c r="H20" s="63"/>
      <c r="I20" s="64"/>
    </row>
    <row r="21" spans="1:9" x14ac:dyDescent="0.25">
      <c r="A21" s="65">
        <v>1</v>
      </c>
      <c r="B21" s="66" t="s">
        <v>57</v>
      </c>
      <c r="C21" s="295" t="s">
        <v>91</v>
      </c>
      <c r="D21" s="296"/>
      <c r="E21" s="49">
        <f>'2,1'!P22</f>
        <v>0</v>
      </c>
      <c r="F21" s="49">
        <f>'2,1'!M22</f>
        <v>0</v>
      </c>
      <c r="G21" s="49">
        <f>'2,1'!N22</f>
        <v>0</v>
      </c>
      <c r="H21" s="49">
        <f>'2,1'!O22</f>
        <v>0</v>
      </c>
      <c r="I21" s="50">
        <f>'2,1'!L22</f>
        <v>0</v>
      </c>
    </row>
    <row r="22" spans="1:9" x14ac:dyDescent="0.25">
      <c r="A22" s="65">
        <v>2</v>
      </c>
      <c r="B22" s="66" t="s">
        <v>58</v>
      </c>
      <c r="C22" s="295" t="s">
        <v>92</v>
      </c>
      <c r="D22" s="296"/>
      <c r="E22" s="49">
        <f>'2,2'!P46</f>
        <v>0</v>
      </c>
      <c r="F22" s="49">
        <f>'2,2'!M46</f>
        <v>0</v>
      </c>
      <c r="G22" s="49">
        <f>'2,2'!N46</f>
        <v>0</v>
      </c>
      <c r="H22" s="49">
        <f>'2,2'!O46</f>
        <v>0</v>
      </c>
      <c r="I22" s="50">
        <f>'2,2'!L46</f>
        <v>0</v>
      </c>
    </row>
    <row r="23" spans="1:9" x14ac:dyDescent="0.25">
      <c r="A23" s="68"/>
      <c r="B23" s="69"/>
      <c r="C23" s="300"/>
      <c r="D23" s="301"/>
      <c r="E23" s="67"/>
      <c r="F23" s="139"/>
      <c r="G23" s="139"/>
      <c r="H23" s="139"/>
      <c r="I23" s="140"/>
    </row>
    <row r="24" spans="1:9" ht="16.5" customHeight="1" x14ac:dyDescent="0.25">
      <c r="A24" s="97"/>
      <c r="B24" s="97"/>
      <c r="C24" s="70" t="s">
        <v>19</v>
      </c>
      <c r="D24" s="70"/>
      <c r="E24" s="71">
        <f>SUM(E20:E23)</f>
        <v>0</v>
      </c>
      <c r="F24" s="71">
        <f>SUM(F20:F23)</f>
        <v>0</v>
      </c>
      <c r="G24" s="71">
        <f>SUM(G20:G23)</f>
        <v>0</v>
      </c>
      <c r="H24" s="71">
        <f>SUM(H20:H23)</f>
        <v>0</v>
      </c>
      <c r="I24" s="71">
        <f>SUM(I20:I23)</f>
        <v>0</v>
      </c>
    </row>
    <row r="25" spans="1:9" ht="15.6" x14ac:dyDescent="0.25">
      <c r="A25" s="297" t="s">
        <v>34</v>
      </c>
      <c r="B25" s="297"/>
      <c r="C25" s="297"/>
      <c r="D25" s="72">
        <f>kops1!$D$26</f>
        <v>0</v>
      </c>
      <c r="E25" s="73">
        <f>ROUND(E24*D25,2)</f>
        <v>0</v>
      </c>
      <c r="F25" s="59"/>
    </row>
    <row r="26" spans="1:9" ht="15.6" x14ac:dyDescent="0.3">
      <c r="A26" s="96"/>
      <c r="B26" s="96"/>
      <c r="C26" s="119" t="s">
        <v>40</v>
      </c>
      <c r="D26" s="72"/>
      <c r="E26" s="73">
        <f>E25*0.1</f>
        <v>0</v>
      </c>
      <c r="F26" s="59"/>
    </row>
    <row r="27" spans="1:9" ht="15.6" x14ac:dyDescent="0.25">
      <c r="A27" s="297" t="s">
        <v>28</v>
      </c>
      <c r="B27" s="297"/>
      <c r="C27" s="297"/>
      <c r="D27" s="72">
        <f>kops1!$D$28</f>
        <v>0</v>
      </c>
      <c r="E27" s="73">
        <f>ROUND(E24*D27,2)</f>
        <v>0</v>
      </c>
      <c r="F27" s="59"/>
    </row>
    <row r="28" spans="1:9" ht="18" customHeight="1" x14ac:dyDescent="0.25">
      <c r="A28" s="292"/>
      <c r="B28" s="292"/>
      <c r="C28" s="70" t="s">
        <v>20</v>
      </c>
      <c r="D28" s="70"/>
      <c r="E28" s="74">
        <f>E27+E25+E24</f>
        <v>0</v>
      </c>
      <c r="F28" s="59"/>
    </row>
    <row r="29" spans="1:9" ht="17.399999999999999" x14ac:dyDescent="0.3">
      <c r="A29" s="75"/>
    </row>
    <row r="30" spans="1:9" ht="17.399999999999999" x14ac:dyDescent="0.3">
      <c r="A30" s="75"/>
    </row>
    <row r="31" spans="1:9" ht="13.8" x14ac:dyDescent="0.25">
      <c r="A31" s="76"/>
      <c r="B31" s="2" t="s">
        <v>8</v>
      </c>
      <c r="C31" s="3"/>
      <c r="F31" s="59"/>
    </row>
    <row r="32" spans="1:9" ht="13.8" x14ac:dyDescent="0.25">
      <c r="A32" s="59"/>
      <c r="B32" s="3"/>
      <c r="C32" s="121">
        <f>Koptame!C34</f>
        <v>0</v>
      </c>
      <c r="D32" s="77"/>
      <c r="E32" s="77"/>
      <c r="F32" s="59"/>
    </row>
    <row r="33" spans="1:6" ht="13.8" x14ac:dyDescent="0.25">
      <c r="A33" s="78"/>
      <c r="B33" s="2"/>
      <c r="C33" s="120">
        <f>Koptame!C35</f>
        <v>0</v>
      </c>
      <c r="D33" s="59"/>
      <c r="E33" s="59"/>
      <c r="F33" s="59"/>
    </row>
    <row r="34" spans="1:6" ht="13.8" x14ac:dyDescent="0.25">
      <c r="B34" s="2"/>
      <c r="C34" s="120"/>
    </row>
    <row r="35" spans="1:6" ht="13.8" x14ac:dyDescent="0.25">
      <c r="B35" s="2"/>
    </row>
    <row r="36" spans="1:6" ht="13.8" x14ac:dyDescent="0.25">
      <c r="B36" s="4"/>
      <c r="C36" s="1"/>
    </row>
    <row r="37" spans="1:6" ht="13.8" x14ac:dyDescent="0.25">
      <c r="B37" s="2" t="str">
        <f>Koptame!B39</f>
        <v>Pārbaudīja:</v>
      </c>
      <c r="C37" s="100"/>
    </row>
    <row r="38" spans="1:6" ht="13.8" x14ac:dyDescent="0.25">
      <c r="B38" s="3"/>
      <c r="C38" s="121">
        <f>Koptame!C40</f>
        <v>0</v>
      </c>
    </row>
    <row r="39" spans="1:6" ht="13.8" x14ac:dyDescent="0.25">
      <c r="B39" s="2"/>
      <c r="C39" s="120">
        <f>Koptame!C41</f>
        <v>0</v>
      </c>
    </row>
  </sheetData>
  <mergeCells count="24">
    <mergeCell ref="A2:I2"/>
    <mergeCell ref="A6:I6"/>
    <mergeCell ref="A8:B8"/>
    <mergeCell ref="C8:I8"/>
    <mergeCell ref="A9:B9"/>
    <mergeCell ref="C9:I9"/>
    <mergeCell ref="A10:B10"/>
    <mergeCell ref="C10:I10"/>
    <mergeCell ref="A11:B11"/>
    <mergeCell ref="F13:G13"/>
    <mergeCell ref="F14:G14"/>
    <mergeCell ref="A28:B28"/>
    <mergeCell ref="C23:D23"/>
    <mergeCell ref="A25:C25"/>
    <mergeCell ref="I18:I19"/>
    <mergeCell ref="C20:D20"/>
    <mergeCell ref="C21:D21"/>
    <mergeCell ref="C22:D22"/>
    <mergeCell ref="A27:C27"/>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P32"/>
  <sheetViews>
    <sheetView showZeros="0" view="pageBreakPreview" zoomScale="90" zoomScaleNormal="80" zoomScaleSheetLayoutView="90" workbookViewId="0">
      <selection activeCell="C14" sqref="C14"/>
    </sheetView>
  </sheetViews>
  <sheetFormatPr defaultColWidth="9.109375" defaultRowHeight="13.8" x14ac:dyDescent="0.25"/>
  <cols>
    <col min="1" max="1" width="9" style="15" customWidth="1"/>
    <col min="2" max="2" width="9.33203125" style="45" customWidth="1"/>
    <col min="3" max="3" width="40.21875" style="15" customWidth="1"/>
    <col min="4" max="4" width="8.109375" style="15" customWidth="1"/>
    <col min="5" max="5" width="9.109375" style="15"/>
    <col min="6" max="7" width="9.109375" style="45"/>
    <col min="8" max="11" width="9.109375" style="15"/>
    <col min="12" max="12" width="14.33203125" style="15" customWidth="1"/>
    <col min="13" max="13" width="12.21875" style="15" customWidth="1"/>
    <col min="14" max="14" width="12.77734375" style="15" customWidth="1"/>
    <col min="15" max="15" width="11.6640625" style="15" customWidth="1"/>
    <col min="16" max="16" width="13.21875" style="15" customWidth="1"/>
    <col min="17" max="16384" width="9.109375" style="15"/>
  </cols>
  <sheetData>
    <row r="1" spans="1:16" s="20" customFormat="1" x14ac:dyDescent="0.25">
      <c r="B1" s="42"/>
      <c r="E1" s="17"/>
      <c r="F1" s="95"/>
      <c r="G1" s="137" t="s">
        <v>60</v>
      </c>
      <c r="H1" s="98" t="str">
        <f>kops2!B21</f>
        <v>2,1</v>
      </c>
    </row>
    <row r="2" spans="1:16" s="20" customFormat="1" x14ac:dyDescent="0.25">
      <c r="A2" s="325" t="str">
        <f>C13</f>
        <v>Iekšējā ūdensapgāde, kanalizācija</v>
      </c>
      <c r="B2" s="325"/>
      <c r="C2" s="325"/>
      <c r="D2" s="325"/>
      <c r="E2" s="325"/>
      <c r="F2" s="325"/>
      <c r="G2" s="325"/>
      <c r="H2" s="325"/>
      <c r="I2" s="325"/>
      <c r="J2" s="325"/>
      <c r="K2" s="325"/>
      <c r="L2" s="325"/>
      <c r="M2" s="325"/>
      <c r="N2" s="325"/>
      <c r="O2" s="325"/>
      <c r="P2" s="325"/>
    </row>
    <row r="3" spans="1:16" x14ac:dyDescent="0.25">
      <c r="A3" s="16"/>
      <c r="B3" s="89"/>
      <c r="C3" s="16" t="s">
        <v>11</v>
      </c>
      <c r="D3" s="327" t="str">
        <f>Koptame!C11</f>
        <v>Jaunlopu kūts</v>
      </c>
      <c r="E3" s="327"/>
      <c r="F3" s="327"/>
      <c r="G3" s="327"/>
      <c r="H3" s="327"/>
      <c r="I3" s="327"/>
      <c r="J3" s="327"/>
      <c r="K3" s="327"/>
      <c r="L3" s="327"/>
      <c r="M3" s="327"/>
      <c r="N3" s="327"/>
      <c r="O3" s="327"/>
      <c r="P3" s="327"/>
    </row>
    <row r="4" spans="1:16" x14ac:dyDescent="0.25">
      <c r="A4" s="16"/>
      <c r="B4" s="89"/>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89"/>
      <c r="C5" s="16" t="s">
        <v>13</v>
      </c>
      <c r="D5" s="327" t="str">
        <f>Koptame!C13</f>
        <v>“Līci”,Sarkaņu pag.,Madonas nov.</v>
      </c>
      <c r="E5" s="327"/>
      <c r="F5" s="327"/>
      <c r="G5" s="327"/>
      <c r="H5" s="327"/>
      <c r="I5" s="327"/>
      <c r="J5" s="327"/>
      <c r="K5" s="327"/>
      <c r="L5" s="327"/>
      <c r="M5" s="327"/>
      <c r="N5" s="327"/>
      <c r="O5" s="327"/>
      <c r="P5" s="327"/>
    </row>
    <row r="6" spans="1:16" x14ac:dyDescent="0.25">
      <c r="A6" s="16"/>
      <c r="B6" s="89"/>
      <c r="C6" s="16" t="str">
        <f>Koptame!B14</f>
        <v>Pasūtījuma Nr.</v>
      </c>
      <c r="D6" s="18" t="str">
        <f>Koptame!C14</f>
        <v xml:space="preserve"> L-25-10-45</v>
      </c>
      <c r="E6" s="37"/>
      <c r="F6" s="43"/>
      <c r="G6" s="43"/>
      <c r="H6" s="37"/>
      <c r="I6" s="37"/>
      <c r="J6" s="37"/>
      <c r="K6" s="37"/>
      <c r="L6" s="37"/>
      <c r="M6" s="37"/>
      <c r="N6" s="37"/>
      <c r="O6" s="37"/>
      <c r="P6" s="21"/>
    </row>
    <row r="7" spans="1:16" x14ac:dyDescent="0.25">
      <c r="A7" s="3" t="str">
        <f>Koptame!B17</f>
        <v>Tāme sastādīta 202_.gada tirgus cenās, pamatojoties uz būvprojekta rasējumiem un darbu apjomiem</v>
      </c>
      <c r="B7" s="90"/>
      <c r="D7" s="18"/>
      <c r="E7" s="18"/>
      <c r="F7" s="44"/>
      <c r="G7" s="44"/>
      <c r="H7" s="18"/>
      <c r="I7" s="18"/>
      <c r="J7" s="18"/>
      <c r="K7" s="37"/>
      <c r="L7" s="37"/>
      <c r="M7" s="37"/>
      <c r="N7" s="37"/>
      <c r="O7" s="16" t="s">
        <v>59</v>
      </c>
      <c r="P7" s="22">
        <f>P22</f>
        <v>0</v>
      </c>
    </row>
    <row r="8" spans="1:16" x14ac:dyDescent="0.25">
      <c r="A8" s="19"/>
      <c r="B8" s="89"/>
      <c r="D8" s="23"/>
      <c r="E8" s="37"/>
      <c r="F8" s="43"/>
      <c r="G8" s="43"/>
      <c r="H8" s="37"/>
      <c r="I8" s="37"/>
      <c r="J8" s="37"/>
      <c r="K8" s="37"/>
      <c r="N8" s="37"/>
      <c r="O8" s="37"/>
      <c r="P8" s="21"/>
    </row>
    <row r="9" spans="1:16" ht="15.3" customHeight="1" x14ac:dyDescent="0.25">
      <c r="A9" s="39"/>
      <c r="B9" s="91"/>
      <c r="J9" s="38"/>
      <c r="K9" s="38"/>
      <c r="L9" s="326" t="str">
        <f>Koptame!D16</f>
        <v>Tāme sastādīta:  2026.gada 8.Aprīlī</v>
      </c>
      <c r="M9" s="326"/>
      <c r="N9" s="326"/>
      <c r="O9" s="326"/>
      <c r="P9" s="38"/>
    </row>
    <row r="10" spans="1:16" ht="15" x14ac:dyDescent="0.25">
      <c r="A10" s="39"/>
      <c r="B10" s="91"/>
    </row>
    <row r="11" spans="1:16" ht="14.25" customHeight="1" x14ac:dyDescent="0.25">
      <c r="A11" s="318" t="s">
        <v>15</v>
      </c>
      <c r="B11" s="319" t="s">
        <v>21</v>
      </c>
      <c r="C11" s="321" t="s">
        <v>64</v>
      </c>
      <c r="D11" s="322" t="s">
        <v>22</v>
      </c>
      <c r="E11" s="318" t="s">
        <v>23</v>
      </c>
      <c r="F11" s="316" t="s">
        <v>24</v>
      </c>
      <c r="G11" s="316"/>
      <c r="H11" s="316"/>
      <c r="I11" s="316"/>
      <c r="J11" s="316"/>
      <c r="K11" s="316"/>
      <c r="L11" s="316" t="s">
        <v>25</v>
      </c>
      <c r="M11" s="316"/>
      <c r="N11" s="316"/>
      <c r="O11" s="316"/>
      <c r="P11" s="316"/>
    </row>
    <row r="12" spans="1:16" ht="73.5" customHeight="1" x14ac:dyDescent="0.25">
      <c r="A12" s="318"/>
      <c r="B12" s="320"/>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178"/>
      <c r="C13" s="243" t="str">
        <f>kops2!C21</f>
        <v>Iekšējā ūdensapgāde, kanalizācija</v>
      </c>
      <c r="D13" s="179"/>
      <c r="E13" s="180"/>
      <c r="F13" s="181"/>
      <c r="G13" s="182"/>
      <c r="H13" s="182"/>
      <c r="I13" s="183"/>
      <c r="J13" s="183"/>
      <c r="K13" s="183">
        <f t="shared" ref="K13" si="0">SUM(H13:J13)</f>
        <v>0</v>
      </c>
      <c r="L13" s="184">
        <f t="shared" ref="L13" si="1">ROUND(F13*E13,2)</f>
        <v>0</v>
      </c>
      <c r="M13" s="183">
        <f t="shared" ref="M13" si="2">ROUND(H13*E13,2)</f>
        <v>0</v>
      </c>
      <c r="N13" s="183">
        <f t="shared" ref="N13" si="3">ROUND(I13*E13,2)</f>
        <v>0</v>
      </c>
      <c r="O13" s="183">
        <f t="shared" ref="O13" si="4">ROUND(J13*E13,2)</f>
        <v>0</v>
      </c>
      <c r="P13" s="185">
        <f t="shared" ref="P13" si="5">SUM(M13:O13)</f>
        <v>0</v>
      </c>
    </row>
    <row r="14" spans="1:16" s="45" customFormat="1" ht="52.8" x14ac:dyDescent="0.25">
      <c r="A14" s="166" t="s">
        <v>174</v>
      </c>
      <c r="B14" s="186"/>
      <c r="C14" s="187" t="s">
        <v>175</v>
      </c>
      <c r="D14" s="208" t="s">
        <v>98</v>
      </c>
      <c r="E14" s="196">
        <f>E15</f>
        <v>283</v>
      </c>
      <c r="F14" s="155"/>
      <c r="G14" s="155"/>
      <c r="H14" s="156"/>
      <c r="I14" s="156"/>
      <c r="J14" s="156"/>
      <c r="K14" s="149">
        <f>SUM(H14:J14)</f>
        <v>0</v>
      </c>
      <c r="L14" s="150">
        <f>ROUND(F14*E14,2)</f>
        <v>0</v>
      </c>
      <c r="M14" s="149">
        <f>ROUND(H14*E14,2)</f>
        <v>0</v>
      </c>
      <c r="N14" s="149">
        <f>ROUND(I14*E14,2)</f>
        <v>0</v>
      </c>
      <c r="O14" s="149">
        <f>ROUND(J14*E14,2)</f>
        <v>0</v>
      </c>
      <c r="P14" s="151">
        <f>SUM(M14:O14)</f>
        <v>0</v>
      </c>
    </row>
    <row r="15" spans="1:16" s="45" customFormat="1" ht="26.4" x14ac:dyDescent="0.25">
      <c r="A15" s="166" t="s">
        <v>176</v>
      </c>
      <c r="B15" s="186"/>
      <c r="C15" s="187" t="s">
        <v>177</v>
      </c>
      <c r="D15" s="208" t="s">
        <v>75</v>
      </c>
      <c r="E15" s="197">
        <f>70+70+50+50+33+10</f>
        <v>283</v>
      </c>
      <c r="F15" s="155"/>
      <c r="G15" s="155"/>
      <c r="H15" s="156"/>
      <c r="I15" s="156"/>
      <c r="J15" s="156"/>
      <c r="K15" s="149">
        <f t="shared" ref="K15:K20" si="6">SUM(H15:J15)</f>
        <v>0</v>
      </c>
      <c r="L15" s="150">
        <f t="shared" ref="L15:L20" si="7">ROUND(F15*E15,2)</f>
        <v>0</v>
      </c>
      <c r="M15" s="149">
        <f t="shared" ref="M15:M20" si="8">ROUND(H15*E15,2)</f>
        <v>0</v>
      </c>
      <c r="N15" s="149">
        <f t="shared" ref="N15:N20" si="9">ROUND(I15*E15,2)</f>
        <v>0</v>
      </c>
      <c r="O15" s="149">
        <f t="shared" ref="O15:O20" si="10">ROUND(J15*E15,2)</f>
        <v>0</v>
      </c>
      <c r="P15" s="151">
        <f t="shared" ref="P15:P20" si="11">SUM(M15:O15)</f>
        <v>0</v>
      </c>
    </row>
    <row r="16" spans="1:16" s="45" customFormat="1" ht="26.4" x14ac:dyDescent="0.25">
      <c r="A16" s="166" t="s">
        <v>178</v>
      </c>
      <c r="B16" s="186"/>
      <c r="C16" s="188" t="s">
        <v>179</v>
      </c>
      <c r="D16" s="198" t="s">
        <v>180</v>
      </c>
      <c r="E16" s="197">
        <v>6</v>
      </c>
      <c r="F16" s="155"/>
      <c r="G16" s="155"/>
      <c r="H16" s="156"/>
      <c r="I16" s="156"/>
      <c r="J16" s="156"/>
      <c r="K16" s="149">
        <f t="shared" si="6"/>
        <v>0</v>
      </c>
      <c r="L16" s="150">
        <f t="shared" si="7"/>
        <v>0</v>
      </c>
      <c r="M16" s="149">
        <f t="shared" si="8"/>
        <v>0</v>
      </c>
      <c r="N16" s="149">
        <f t="shared" si="9"/>
        <v>0</v>
      </c>
      <c r="O16" s="149">
        <f t="shared" si="10"/>
        <v>0</v>
      </c>
      <c r="P16" s="151">
        <f t="shared" si="11"/>
        <v>0</v>
      </c>
    </row>
    <row r="17" spans="1:16" s="45" customFormat="1" ht="39.6" x14ac:dyDescent="0.25">
      <c r="A17" s="166" t="s">
        <v>181</v>
      </c>
      <c r="B17" s="186"/>
      <c r="C17" s="188" t="s">
        <v>182</v>
      </c>
      <c r="D17" s="198" t="s">
        <v>100</v>
      </c>
      <c r="E17" s="197">
        <v>6</v>
      </c>
      <c r="F17" s="155"/>
      <c r="G17" s="155"/>
      <c r="H17" s="156"/>
      <c r="I17" s="156"/>
      <c r="J17" s="156"/>
      <c r="K17" s="149">
        <f t="shared" si="6"/>
        <v>0</v>
      </c>
      <c r="L17" s="150">
        <f t="shared" si="7"/>
        <v>0</v>
      </c>
      <c r="M17" s="149">
        <f t="shared" si="8"/>
        <v>0</v>
      </c>
      <c r="N17" s="149">
        <f t="shared" si="9"/>
        <v>0</v>
      </c>
      <c r="O17" s="149">
        <f t="shared" si="10"/>
        <v>0</v>
      </c>
      <c r="P17" s="151">
        <f t="shared" si="11"/>
        <v>0</v>
      </c>
    </row>
    <row r="18" spans="1:16" s="45" customFormat="1" ht="92.4" x14ac:dyDescent="0.25">
      <c r="A18" s="166" t="s">
        <v>183</v>
      </c>
      <c r="B18" s="186"/>
      <c r="C18" s="335" t="s">
        <v>301</v>
      </c>
      <c r="D18" s="198" t="s">
        <v>180</v>
      </c>
      <c r="E18" s="197">
        <v>1</v>
      </c>
      <c r="F18" s="155"/>
      <c r="G18" s="155"/>
      <c r="H18" s="156"/>
      <c r="I18" s="156"/>
      <c r="J18" s="156"/>
      <c r="K18" s="149">
        <f t="shared" si="6"/>
        <v>0</v>
      </c>
      <c r="L18" s="150">
        <f t="shared" si="7"/>
        <v>0</v>
      </c>
      <c r="M18" s="149">
        <f t="shared" si="8"/>
        <v>0</v>
      </c>
      <c r="N18" s="149">
        <f t="shared" si="9"/>
        <v>0</v>
      </c>
      <c r="O18" s="149">
        <f t="shared" si="10"/>
        <v>0</v>
      </c>
      <c r="P18" s="151">
        <f t="shared" si="11"/>
        <v>0</v>
      </c>
    </row>
    <row r="19" spans="1:16" s="45" customFormat="1" x14ac:dyDescent="0.25">
      <c r="A19" s="166" t="s">
        <v>184</v>
      </c>
      <c r="B19" s="186"/>
      <c r="C19" s="188" t="s">
        <v>185</v>
      </c>
      <c r="D19" s="198" t="s">
        <v>180</v>
      </c>
      <c r="E19" s="197">
        <v>1</v>
      </c>
      <c r="F19" s="155"/>
      <c r="G19" s="155"/>
      <c r="H19" s="156"/>
      <c r="I19" s="156"/>
      <c r="J19" s="156"/>
      <c r="K19" s="149">
        <f t="shared" si="6"/>
        <v>0</v>
      </c>
      <c r="L19" s="150">
        <f t="shared" si="7"/>
        <v>0</v>
      </c>
      <c r="M19" s="149">
        <f t="shared" si="8"/>
        <v>0</v>
      </c>
      <c r="N19" s="149">
        <f t="shared" si="9"/>
        <v>0</v>
      </c>
      <c r="O19" s="149">
        <f t="shared" si="10"/>
        <v>0</v>
      </c>
      <c r="P19" s="151">
        <f t="shared" si="11"/>
        <v>0</v>
      </c>
    </row>
    <row r="20" spans="1:16" s="45" customFormat="1" x14ac:dyDescent="0.25">
      <c r="A20" s="166" t="s">
        <v>186</v>
      </c>
      <c r="B20" s="186"/>
      <c r="C20" s="188" t="s">
        <v>187</v>
      </c>
      <c r="D20" s="198" t="s">
        <v>180</v>
      </c>
      <c r="E20" s="197">
        <v>1</v>
      </c>
      <c r="F20" s="155"/>
      <c r="G20" s="155"/>
      <c r="H20" s="156"/>
      <c r="I20" s="156"/>
      <c r="J20" s="156"/>
      <c r="K20" s="149">
        <f t="shared" si="6"/>
        <v>0</v>
      </c>
      <c r="L20" s="150">
        <f t="shared" si="7"/>
        <v>0</v>
      </c>
      <c r="M20" s="149">
        <f t="shared" si="8"/>
        <v>0</v>
      </c>
      <c r="N20" s="149">
        <f t="shared" si="9"/>
        <v>0</v>
      </c>
      <c r="O20" s="149">
        <f t="shared" si="10"/>
        <v>0</v>
      </c>
      <c r="P20" s="151">
        <f t="shared" si="11"/>
        <v>0</v>
      </c>
    </row>
    <row r="21" spans="1:16" x14ac:dyDescent="0.25">
      <c r="A21" s="189"/>
      <c r="B21" s="190"/>
      <c r="C21" s="191"/>
      <c r="D21" s="192"/>
      <c r="E21" s="193"/>
      <c r="F21" s="194">
        <v>0</v>
      </c>
      <c r="G21" s="194">
        <v>0</v>
      </c>
      <c r="H21" s="194"/>
      <c r="I21" s="193"/>
      <c r="J21" s="193"/>
      <c r="K21" s="193"/>
      <c r="L21" s="193"/>
      <c r="M21" s="193"/>
      <c r="N21" s="193"/>
      <c r="O21" s="193"/>
      <c r="P21" s="195"/>
    </row>
    <row r="22" spans="1:16" ht="15.3" customHeight="1" x14ac:dyDescent="0.25">
      <c r="A22" s="174"/>
      <c r="B22" s="175"/>
      <c r="C22" s="330" t="s">
        <v>71</v>
      </c>
      <c r="D22" s="331"/>
      <c r="E22" s="331"/>
      <c r="F22" s="331"/>
      <c r="G22" s="331"/>
      <c r="H22" s="331"/>
      <c r="I22" s="331"/>
      <c r="J22" s="331"/>
      <c r="K22" s="331"/>
      <c r="L22" s="176">
        <f>SUM(L13:L21)</f>
        <v>0</v>
      </c>
      <c r="M22" s="176">
        <f>SUM(M13:M21)</f>
        <v>0</v>
      </c>
      <c r="N22" s="176">
        <f>SUM(N13:N21)</f>
        <v>0</v>
      </c>
      <c r="O22" s="176">
        <f>SUM(O13:O21)</f>
        <v>0</v>
      </c>
      <c r="P22" s="176">
        <f>SUM(P13:P21)</f>
        <v>0</v>
      </c>
    </row>
    <row r="23" spans="1:16" s="101" customFormat="1" x14ac:dyDescent="0.25">
      <c r="I23" s="122"/>
    </row>
    <row r="24" spans="1:16" customFormat="1" ht="12.75" customHeight="1" x14ac:dyDescent="0.25">
      <c r="B24" s="123" t="s">
        <v>41</v>
      </c>
    </row>
    <row r="25" spans="1:16" customFormat="1" ht="45" customHeight="1" x14ac:dyDescent="0.25">
      <c r="A25" s="317"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25" s="317"/>
      <c r="C25" s="317"/>
      <c r="D25" s="317"/>
      <c r="E25" s="317"/>
      <c r="F25" s="317"/>
      <c r="G25" s="317"/>
      <c r="H25" s="317"/>
      <c r="I25" s="317"/>
      <c r="J25" s="317"/>
      <c r="K25" s="317"/>
      <c r="L25" s="317"/>
      <c r="M25" s="317"/>
      <c r="N25" s="317"/>
      <c r="O25" s="317"/>
      <c r="P25" s="317"/>
    </row>
    <row r="26" spans="1:16" customFormat="1" ht="76.8" customHeight="1" x14ac:dyDescent="0.25">
      <c r="A26" s="317"/>
      <c r="B26" s="317"/>
      <c r="C26" s="317"/>
      <c r="D26" s="317"/>
      <c r="E26" s="317"/>
      <c r="F26" s="317"/>
      <c r="G26" s="317"/>
      <c r="H26" s="317"/>
      <c r="I26" s="317"/>
      <c r="J26" s="317"/>
      <c r="K26" s="317"/>
      <c r="L26" s="317"/>
      <c r="M26" s="317"/>
      <c r="N26" s="317"/>
      <c r="O26" s="317"/>
      <c r="P26" s="317"/>
    </row>
    <row r="27" spans="1:16" customFormat="1" ht="12.75" customHeight="1" x14ac:dyDescent="0.25">
      <c r="B27" s="124"/>
    </row>
    <row r="28" spans="1:16" customFormat="1" ht="12.75" customHeight="1" x14ac:dyDescent="0.25">
      <c r="B28" s="124"/>
    </row>
    <row r="29" spans="1:16" s="101" customFormat="1" x14ac:dyDescent="0.25">
      <c r="B29" s="101" t="s">
        <v>8</v>
      </c>
      <c r="L29" s="129" t="str">
        <f>Koptame!B39</f>
        <v>Pārbaudīja:</v>
      </c>
      <c r="M29" s="129"/>
      <c r="N29" s="129"/>
      <c r="O29" s="129"/>
      <c r="P29" s="129"/>
    </row>
    <row r="30" spans="1:16" s="101" customFormat="1" x14ac:dyDescent="0.25">
      <c r="C30" s="121">
        <f>Koptame!C34</f>
        <v>0</v>
      </c>
      <c r="L30" s="121"/>
      <c r="M30" s="314">
        <f>Koptame!C40</f>
        <v>0</v>
      </c>
      <c r="N30" s="314"/>
      <c r="O30" s="129"/>
      <c r="P30" s="129"/>
    </row>
    <row r="31" spans="1:16" s="101" customFormat="1" x14ac:dyDescent="0.25">
      <c r="C31" s="120">
        <f>Koptame!C35</f>
        <v>0</v>
      </c>
      <c r="L31" s="120"/>
      <c r="M31" s="315">
        <f>Koptame!C41</f>
        <v>0</v>
      </c>
      <c r="N31" s="315"/>
      <c r="O31" s="129"/>
      <c r="P31" s="129"/>
    </row>
    <row r="32" spans="1:16" s="101" customFormat="1" collapsed="1" x14ac:dyDescent="0.25">
      <c r="B32" s="122"/>
      <c r="F32" s="122"/>
      <c r="G32" s="122"/>
    </row>
  </sheetData>
  <mergeCells count="17">
    <mergeCell ref="A2:P2"/>
    <mergeCell ref="D3:P3"/>
    <mergeCell ref="D4:P4"/>
    <mergeCell ref="D5:P5"/>
    <mergeCell ref="L9:O9"/>
    <mergeCell ref="F11:K11"/>
    <mergeCell ref="L11:P11"/>
    <mergeCell ref="C22:K22"/>
    <mergeCell ref="M31:N31"/>
    <mergeCell ref="M30:N30"/>
    <mergeCell ref="A26:P26"/>
    <mergeCell ref="A25:P25"/>
    <mergeCell ref="A11:A12"/>
    <mergeCell ref="B11:B12"/>
    <mergeCell ref="C11:C12"/>
    <mergeCell ref="D11:D12"/>
    <mergeCell ref="E11:E12"/>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rowBreaks count="1" manualBreakCount="1">
    <brk id="1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P58"/>
  <sheetViews>
    <sheetView showZeros="0" view="pageBreakPreview" topLeftCell="A19" zoomScale="75" zoomScaleNormal="100" zoomScaleSheetLayoutView="90" workbookViewId="0">
      <selection activeCell="C18" sqref="C18"/>
    </sheetView>
  </sheetViews>
  <sheetFormatPr defaultColWidth="9.109375" defaultRowHeight="13.8" x14ac:dyDescent="0.25"/>
  <cols>
    <col min="1" max="1" width="9" style="15" customWidth="1"/>
    <col min="2" max="2" width="9.33203125" style="15" customWidth="1"/>
    <col min="3" max="3" width="40.21875" style="15" customWidth="1"/>
    <col min="4" max="4" width="8.109375" style="15" customWidth="1"/>
    <col min="5" max="8" width="9.109375" style="15"/>
    <col min="9" max="9" width="9.109375" style="45"/>
    <col min="10" max="11" width="9.109375" style="15"/>
    <col min="12" max="12" width="11.6640625" style="15" customWidth="1"/>
    <col min="13" max="13" width="12.21875" style="15" customWidth="1"/>
    <col min="14" max="14" width="12.77734375" style="15" customWidth="1"/>
    <col min="15" max="15" width="11.6640625" style="15" customWidth="1"/>
    <col min="16" max="16" width="13.21875" style="15" customWidth="1"/>
    <col min="17" max="16384" width="9.109375" style="15"/>
  </cols>
  <sheetData>
    <row r="1" spans="1:16" s="20" customFormat="1" x14ac:dyDescent="0.25">
      <c r="E1" s="17"/>
      <c r="F1" s="17"/>
      <c r="G1" s="138" t="s">
        <v>60</v>
      </c>
      <c r="H1" s="98" t="str">
        <f>kops2!B22</f>
        <v>2,2</v>
      </c>
      <c r="I1" s="42"/>
    </row>
    <row r="2" spans="1:16" s="20" customFormat="1" x14ac:dyDescent="0.25">
      <c r="A2" s="325" t="str">
        <f>C13</f>
        <v>Iekšējā elektroapgāde</v>
      </c>
      <c r="B2" s="325"/>
      <c r="C2" s="325"/>
      <c r="D2" s="325"/>
      <c r="E2" s="325"/>
      <c r="F2" s="325"/>
      <c r="G2" s="325"/>
      <c r="H2" s="325"/>
      <c r="I2" s="325"/>
      <c r="J2" s="325"/>
      <c r="K2" s="325"/>
      <c r="L2" s="325"/>
      <c r="M2" s="325"/>
      <c r="N2" s="325"/>
      <c r="O2" s="325"/>
      <c r="P2" s="325"/>
    </row>
    <row r="3" spans="1:16" x14ac:dyDescent="0.25">
      <c r="A3" s="16"/>
      <c r="B3" s="16"/>
      <c r="C3" s="16" t="s">
        <v>11</v>
      </c>
      <c r="D3" s="327" t="str">
        <f>Koptame!C11</f>
        <v>Jaunlopu kūts</v>
      </c>
      <c r="E3" s="327"/>
      <c r="F3" s="327"/>
      <c r="G3" s="327"/>
      <c r="H3" s="327"/>
      <c r="I3" s="327"/>
      <c r="J3" s="327"/>
      <c r="K3" s="327"/>
      <c r="L3" s="327"/>
      <c r="M3" s="327"/>
      <c r="N3" s="327"/>
      <c r="O3" s="327"/>
      <c r="P3" s="327"/>
    </row>
    <row r="4" spans="1:16" x14ac:dyDescent="0.25">
      <c r="A4" s="16"/>
      <c r="B4" s="16"/>
      <c r="C4" s="16" t="s">
        <v>12</v>
      </c>
      <c r="D4" s="327" t="str">
        <f>Koptame!C12</f>
        <v>Esošā šķūņa demontāža,jaunas jaunlopu kūts būvniecība un ceļu un laukumu izbūve īpašumā “Līci”,Sarkaņu pag.,Madonas nov.</v>
      </c>
      <c r="E4" s="327"/>
      <c r="F4" s="327"/>
      <c r="G4" s="327"/>
      <c r="H4" s="327"/>
      <c r="I4" s="327"/>
      <c r="J4" s="327"/>
      <c r="K4" s="327"/>
      <c r="L4" s="327"/>
      <c r="M4" s="327"/>
      <c r="N4" s="327"/>
      <c r="O4" s="327"/>
      <c r="P4" s="327"/>
    </row>
    <row r="5" spans="1:16" x14ac:dyDescent="0.25">
      <c r="A5" s="16"/>
      <c r="B5" s="16"/>
      <c r="C5" s="16" t="s">
        <v>13</v>
      </c>
      <c r="D5" s="327" t="str">
        <f>Koptame!C13</f>
        <v>“Līci”,Sarkaņu pag.,Madonas nov.</v>
      </c>
      <c r="E5" s="327"/>
      <c r="F5" s="327"/>
      <c r="G5" s="327"/>
      <c r="H5" s="327"/>
      <c r="I5" s="327"/>
      <c r="J5" s="327"/>
      <c r="K5" s="327"/>
      <c r="L5" s="327"/>
      <c r="M5" s="327"/>
      <c r="N5" s="327"/>
      <c r="O5" s="327"/>
      <c r="P5" s="327"/>
    </row>
    <row r="6" spans="1:16" x14ac:dyDescent="0.25">
      <c r="A6" s="16"/>
      <c r="B6" s="16"/>
      <c r="C6" s="16" t="str">
        <f>Koptame!B14</f>
        <v>Pasūtījuma Nr.</v>
      </c>
      <c r="D6" s="18" t="str">
        <f>Koptame!C14</f>
        <v xml:space="preserve"> L-25-10-45</v>
      </c>
      <c r="E6" s="37"/>
      <c r="F6" s="37"/>
      <c r="G6" s="37"/>
      <c r="H6" s="37"/>
      <c r="I6" s="43"/>
      <c r="J6" s="37"/>
      <c r="K6" s="37"/>
      <c r="L6" s="37"/>
      <c r="M6" s="37"/>
      <c r="N6" s="37"/>
      <c r="O6" s="37"/>
      <c r="P6" s="21"/>
    </row>
    <row r="7" spans="1:16" x14ac:dyDescent="0.25">
      <c r="A7" s="3" t="str">
        <f>Koptame!B17</f>
        <v>Tāme sastādīta 202_.gada tirgus cenās, pamatojoties uz būvprojekta rasējumiem un darbu apjomiem</v>
      </c>
      <c r="B7" s="40"/>
      <c r="D7" s="18"/>
      <c r="E7" s="18"/>
      <c r="F7" s="18"/>
      <c r="G7" s="18"/>
      <c r="H7" s="18"/>
      <c r="I7" s="44"/>
      <c r="J7" s="18"/>
      <c r="K7" s="37"/>
      <c r="L7" s="37"/>
      <c r="M7" s="37"/>
      <c r="N7" s="37"/>
      <c r="O7" s="16" t="s">
        <v>59</v>
      </c>
      <c r="P7" s="22">
        <f>P46</f>
        <v>0</v>
      </c>
    </row>
    <row r="8" spans="1:16" x14ac:dyDescent="0.25">
      <c r="A8" s="19"/>
      <c r="B8" s="19"/>
      <c r="D8" s="23"/>
      <c r="E8" s="37"/>
      <c r="F8" s="37"/>
      <c r="G8" s="37"/>
      <c r="H8" s="37"/>
      <c r="I8" s="43"/>
      <c r="J8" s="37"/>
      <c r="K8" s="37"/>
      <c r="N8" s="37"/>
      <c r="O8" s="37"/>
      <c r="P8" s="21"/>
    </row>
    <row r="9" spans="1:16" ht="15.3" customHeight="1" x14ac:dyDescent="0.25">
      <c r="A9" s="39"/>
      <c r="B9" s="39"/>
      <c r="J9" s="38"/>
      <c r="K9" s="38"/>
      <c r="L9" s="326" t="str">
        <f>Koptame!D16</f>
        <v>Tāme sastādīta:  2026.gada 8.Aprīlī</v>
      </c>
      <c r="M9" s="326"/>
      <c r="N9" s="326"/>
      <c r="O9" s="326"/>
      <c r="P9" s="38"/>
    </row>
    <row r="10" spans="1:16" ht="15" x14ac:dyDescent="0.25">
      <c r="A10" s="39"/>
      <c r="B10" s="39"/>
    </row>
    <row r="11" spans="1:16" ht="14.25" customHeight="1" x14ac:dyDescent="0.25">
      <c r="A11" s="318" t="s">
        <v>15</v>
      </c>
      <c r="B11" s="328" t="s">
        <v>21</v>
      </c>
      <c r="C11" s="321" t="s">
        <v>64</v>
      </c>
      <c r="D11" s="322" t="s">
        <v>22</v>
      </c>
      <c r="E11" s="318" t="s">
        <v>23</v>
      </c>
      <c r="F11" s="316" t="s">
        <v>24</v>
      </c>
      <c r="G11" s="316"/>
      <c r="H11" s="316"/>
      <c r="I11" s="316"/>
      <c r="J11" s="316"/>
      <c r="K11" s="316"/>
      <c r="L11" s="316" t="s">
        <v>25</v>
      </c>
      <c r="M11" s="316"/>
      <c r="N11" s="316"/>
      <c r="O11" s="316"/>
      <c r="P11" s="316"/>
    </row>
    <row r="12" spans="1:16" ht="66.599999999999994" x14ac:dyDescent="0.25">
      <c r="A12" s="318"/>
      <c r="B12" s="329"/>
      <c r="C12" s="321"/>
      <c r="D12" s="322"/>
      <c r="E12" s="318"/>
      <c r="F12" s="131" t="s">
        <v>26</v>
      </c>
      <c r="G12" s="131" t="s">
        <v>44</v>
      </c>
      <c r="H12" s="131" t="s">
        <v>45</v>
      </c>
      <c r="I12" s="131" t="s">
        <v>62</v>
      </c>
      <c r="J12" s="131" t="s">
        <v>46</v>
      </c>
      <c r="K12" s="131" t="s">
        <v>47</v>
      </c>
      <c r="L12" s="131" t="s">
        <v>18</v>
      </c>
      <c r="M12" s="131" t="s">
        <v>45</v>
      </c>
      <c r="N12" s="131" t="s">
        <v>62</v>
      </c>
      <c r="O12" s="131" t="s">
        <v>46</v>
      </c>
      <c r="P12" s="131" t="s">
        <v>48</v>
      </c>
    </row>
    <row r="13" spans="1:16" ht="15.6" x14ac:dyDescent="0.25">
      <c r="A13" s="177"/>
      <c r="B13" s="209">
        <v>0</v>
      </c>
      <c r="C13" s="243" t="str">
        <f>[2]kops2!C22</f>
        <v>Iekšējā elektroapgāde</v>
      </c>
      <c r="D13" s="179"/>
      <c r="E13" s="180"/>
      <c r="F13" s="184">
        <v>0</v>
      </c>
      <c r="G13" s="183">
        <v>0</v>
      </c>
      <c r="H13" s="182">
        <v>0</v>
      </c>
      <c r="I13" s="183">
        <v>0</v>
      </c>
      <c r="J13" s="183">
        <v>0</v>
      </c>
      <c r="K13" s="183">
        <f t="shared" ref="K13" si="0">SUM(H13:J13)</f>
        <v>0</v>
      </c>
      <c r="L13" s="184">
        <f t="shared" ref="L13" si="1">ROUND(F13*E13,2)</f>
        <v>0</v>
      </c>
      <c r="M13" s="183">
        <f t="shared" ref="M13" si="2">ROUND(H13*E13,2)</f>
        <v>0</v>
      </c>
      <c r="N13" s="183">
        <f t="shared" ref="N13" si="3">ROUND(I13*E13,2)</f>
        <v>0</v>
      </c>
      <c r="O13" s="183">
        <f t="shared" ref="O13" si="4">ROUND(J13*E13,2)</f>
        <v>0</v>
      </c>
      <c r="P13" s="185">
        <f t="shared" ref="P13" si="5">SUM(M13:O13)</f>
        <v>0</v>
      </c>
    </row>
    <row r="14" spans="1:16" s="45" customFormat="1" x14ac:dyDescent="0.25">
      <c r="A14" s="244">
        <v>1</v>
      </c>
      <c r="B14" s="245"/>
      <c r="C14" s="246" t="s">
        <v>210</v>
      </c>
      <c r="D14" s="245" t="s">
        <v>100</v>
      </c>
      <c r="E14" s="245">
        <v>10</v>
      </c>
      <c r="F14" s="155"/>
      <c r="G14" s="155"/>
      <c r="H14" s="156"/>
      <c r="I14" s="156"/>
      <c r="J14" s="156"/>
      <c r="K14" s="149">
        <f>SUM(H14:J14)</f>
        <v>0</v>
      </c>
      <c r="L14" s="150">
        <f>ROUND(F14*E14,2)</f>
        <v>0</v>
      </c>
      <c r="M14" s="149">
        <f>ROUND(H14*E14,2)</f>
        <v>0</v>
      </c>
      <c r="N14" s="149">
        <f>ROUND(I14*E14,2)</f>
        <v>0</v>
      </c>
      <c r="O14" s="149">
        <f>ROUND(J14*E14,2)</f>
        <v>0</v>
      </c>
      <c r="P14" s="151">
        <f>SUM(M14:O14)</f>
        <v>0</v>
      </c>
    </row>
    <row r="15" spans="1:16" s="45" customFormat="1" x14ac:dyDescent="0.25">
      <c r="A15" s="244">
        <v>2</v>
      </c>
      <c r="B15" s="245"/>
      <c r="C15" s="246" t="s">
        <v>211</v>
      </c>
      <c r="D15" s="245" t="s">
        <v>100</v>
      </c>
      <c r="E15" s="245">
        <v>8</v>
      </c>
      <c r="F15" s="155"/>
      <c r="G15" s="155"/>
      <c r="H15" s="156"/>
      <c r="I15" s="156"/>
      <c r="J15" s="156"/>
      <c r="K15" s="149">
        <f t="shared" ref="K15:K44" si="6">SUM(H15:J15)</f>
        <v>0</v>
      </c>
      <c r="L15" s="150">
        <f t="shared" ref="L15:L44" si="7">ROUND(F15*E15,2)</f>
        <v>0</v>
      </c>
      <c r="M15" s="149">
        <f t="shared" ref="M15:M44" si="8">ROUND(H15*E15,2)</f>
        <v>0</v>
      </c>
      <c r="N15" s="149">
        <f t="shared" ref="N15:N44" si="9">ROUND(I15*E15,2)</f>
        <v>0</v>
      </c>
      <c r="O15" s="149">
        <f t="shared" ref="O15:O44" si="10">ROUND(J15*E15,2)</f>
        <v>0</v>
      </c>
      <c r="P15" s="151">
        <f t="shared" ref="P15:P44" si="11">SUM(M15:O15)</f>
        <v>0</v>
      </c>
    </row>
    <row r="16" spans="1:16" s="45" customFormat="1" ht="27.6" x14ac:dyDescent="0.25">
      <c r="A16" s="244">
        <v>3</v>
      </c>
      <c r="B16" s="245"/>
      <c r="C16" s="247" t="s">
        <v>212</v>
      </c>
      <c r="D16" s="245" t="s">
        <v>78</v>
      </c>
      <c r="E16" s="245">
        <v>1</v>
      </c>
      <c r="F16" s="155"/>
      <c r="G16" s="155"/>
      <c r="H16" s="156"/>
      <c r="I16" s="156"/>
      <c r="J16" s="156"/>
      <c r="K16" s="149">
        <f t="shared" si="6"/>
        <v>0</v>
      </c>
      <c r="L16" s="150">
        <f t="shared" si="7"/>
        <v>0</v>
      </c>
      <c r="M16" s="149">
        <f t="shared" si="8"/>
        <v>0</v>
      </c>
      <c r="N16" s="149">
        <f t="shared" si="9"/>
        <v>0</v>
      </c>
      <c r="O16" s="149">
        <f t="shared" si="10"/>
        <v>0</v>
      </c>
      <c r="P16" s="151">
        <f t="shared" si="11"/>
        <v>0</v>
      </c>
    </row>
    <row r="17" spans="1:16" s="45" customFormat="1" ht="27.6" x14ac:dyDescent="0.25">
      <c r="A17" s="244">
        <v>4</v>
      </c>
      <c r="B17" s="245"/>
      <c r="C17" s="247" t="s">
        <v>213</v>
      </c>
      <c r="D17" s="245" t="s">
        <v>78</v>
      </c>
      <c r="E17" s="245">
        <v>1</v>
      </c>
      <c r="F17" s="155"/>
      <c r="G17" s="155"/>
      <c r="H17" s="156"/>
      <c r="I17" s="156"/>
      <c r="J17" s="156"/>
      <c r="K17" s="149">
        <f t="shared" si="6"/>
        <v>0</v>
      </c>
      <c r="L17" s="150">
        <f t="shared" si="7"/>
        <v>0</v>
      </c>
      <c r="M17" s="149">
        <f t="shared" si="8"/>
        <v>0</v>
      </c>
      <c r="N17" s="149">
        <f t="shared" si="9"/>
        <v>0</v>
      </c>
      <c r="O17" s="149">
        <f t="shared" si="10"/>
        <v>0</v>
      </c>
      <c r="P17" s="151">
        <f t="shared" si="11"/>
        <v>0</v>
      </c>
    </row>
    <row r="18" spans="1:16" s="45" customFormat="1" ht="27.6" x14ac:dyDescent="0.25">
      <c r="A18" s="244">
        <v>5</v>
      </c>
      <c r="B18" s="245"/>
      <c r="C18" s="247" t="s">
        <v>214</v>
      </c>
      <c r="D18" s="245" t="s">
        <v>100</v>
      </c>
      <c r="E18" s="245">
        <v>6</v>
      </c>
      <c r="F18" s="155"/>
      <c r="G18" s="155"/>
      <c r="H18" s="156"/>
      <c r="I18" s="156"/>
      <c r="J18" s="156"/>
      <c r="K18" s="149">
        <f t="shared" si="6"/>
        <v>0</v>
      </c>
      <c r="L18" s="150">
        <f t="shared" si="7"/>
        <v>0</v>
      </c>
      <c r="M18" s="149">
        <f t="shared" si="8"/>
        <v>0</v>
      </c>
      <c r="N18" s="149">
        <f t="shared" si="9"/>
        <v>0</v>
      </c>
      <c r="O18" s="149">
        <f t="shared" si="10"/>
        <v>0</v>
      </c>
      <c r="P18" s="151">
        <f t="shared" si="11"/>
        <v>0</v>
      </c>
    </row>
    <row r="19" spans="1:16" s="45" customFormat="1" ht="27.6" x14ac:dyDescent="0.25">
      <c r="A19" s="244">
        <v>6</v>
      </c>
      <c r="B19" s="245"/>
      <c r="C19" s="247" t="s">
        <v>215</v>
      </c>
      <c r="D19" s="245" t="s">
        <v>100</v>
      </c>
      <c r="E19" s="245">
        <v>36</v>
      </c>
      <c r="F19" s="155"/>
      <c r="G19" s="155"/>
      <c r="H19" s="156"/>
      <c r="I19" s="156"/>
      <c r="J19" s="156"/>
      <c r="K19" s="149">
        <f t="shared" si="6"/>
        <v>0</v>
      </c>
      <c r="L19" s="150">
        <f t="shared" si="7"/>
        <v>0</v>
      </c>
      <c r="M19" s="149">
        <f t="shared" si="8"/>
        <v>0</v>
      </c>
      <c r="N19" s="149">
        <f t="shared" si="9"/>
        <v>0</v>
      </c>
      <c r="O19" s="149">
        <f t="shared" si="10"/>
        <v>0</v>
      </c>
      <c r="P19" s="151">
        <f t="shared" si="11"/>
        <v>0</v>
      </c>
    </row>
    <row r="20" spans="1:16" s="45" customFormat="1" x14ac:dyDescent="0.25">
      <c r="A20" s="244">
        <v>7</v>
      </c>
      <c r="B20" s="245"/>
      <c r="C20" s="247" t="s">
        <v>216</v>
      </c>
      <c r="D20" s="245" t="s">
        <v>100</v>
      </c>
      <c r="E20" s="245">
        <v>2</v>
      </c>
      <c r="F20" s="155"/>
      <c r="G20" s="155"/>
      <c r="H20" s="156"/>
      <c r="I20" s="156"/>
      <c r="J20" s="156"/>
      <c r="K20" s="149">
        <f t="shared" si="6"/>
        <v>0</v>
      </c>
      <c r="L20" s="150">
        <f t="shared" si="7"/>
        <v>0</v>
      </c>
      <c r="M20" s="149">
        <f t="shared" si="8"/>
        <v>0</v>
      </c>
      <c r="N20" s="149">
        <f t="shared" si="9"/>
        <v>0</v>
      </c>
      <c r="O20" s="149">
        <f t="shared" si="10"/>
        <v>0</v>
      </c>
      <c r="P20" s="151">
        <f t="shared" si="11"/>
        <v>0</v>
      </c>
    </row>
    <row r="21" spans="1:16" s="45" customFormat="1" x14ac:dyDescent="0.25">
      <c r="A21" s="244">
        <v>8</v>
      </c>
      <c r="B21" s="245"/>
      <c r="C21" s="248" t="s">
        <v>217</v>
      </c>
      <c r="D21" s="245" t="s">
        <v>75</v>
      </c>
      <c r="E21" s="245">
        <v>132</v>
      </c>
      <c r="F21" s="155"/>
      <c r="G21" s="155"/>
      <c r="H21" s="156"/>
      <c r="I21" s="156"/>
      <c r="J21" s="156"/>
      <c r="K21" s="149">
        <f t="shared" si="6"/>
        <v>0</v>
      </c>
      <c r="L21" s="150">
        <f t="shared" si="7"/>
        <v>0</v>
      </c>
      <c r="M21" s="149">
        <f t="shared" si="8"/>
        <v>0</v>
      </c>
      <c r="N21" s="149">
        <f t="shared" si="9"/>
        <v>0</v>
      </c>
      <c r="O21" s="149">
        <f t="shared" si="10"/>
        <v>0</v>
      </c>
      <c r="P21" s="151">
        <f t="shared" si="11"/>
        <v>0</v>
      </c>
    </row>
    <row r="22" spans="1:16" s="45" customFormat="1" x14ac:dyDescent="0.25">
      <c r="A22" s="244">
        <v>9</v>
      </c>
      <c r="B22" s="245"/>
      <c r="C22" s="248" t="s">
        <v>218</v>
      </c>
      <c r="D22" s="245" t="s">
        <v>75</v>
      </c>
      <c r="E22" s="245">
        <v>28</v>
      </c>
      <c r="F22" s="155"/>
      <c r="G22" s="155"/>
      <c r="H22" s="156"/>
      <c r="I22" s="156"/>
      <c r="J22" s="156"/>
      <c r="K22" s="149">
        <f t="shared" si="6"/>
        <v>0</v>
      </c>
      <c r="L22" s="150">
        <f t="shared" si="7"/>
        <v>0</v>
      </c>
      <c r="M22" s="149">
        <f t="shared" si="8"/>
        <v>0</v>
      </c>
      <c r="N22" s="149">
        <f t="shared" si="9"/>
        <v>0</v>
      </c>
      <c r="O22" s="149">
        <f t="shared" si="10"/>
        <v>0</v>
      </c>
      <c r="P22" s="151">
        <f t="shared" si="11"/>
        <v>0</v>
      </c>
    </row>
    <row r="23" spans="1:16" s="45" customFormat="1" x14ac:dyDescent="0.25">
      <c r="A23" s="244">
        <v>10</v>
      </c>
      <c r="B23" s="245"/>
      <c r="C23" s="248" t="s">
        <v>219</v>
      </c>
      <c r="D23" s="245" t="s">
        <v>75</v>
      </c>
      <c r="E23" s="245">
        <v>28</v>
      </c>
      <c r="F23" s="155"/>
      <c r="G23" s="155"/>
      <c r="H23" s="156"/>
      <c r="I23" s="156"/>
      <c r="J23" s="156"/>
      <c r="K23" s="149">
        <f t="shared" si="6"/>
        <v>0</v>
      </c>
      <c r="L23" s="150">
        <f t="shared" si="7"/>
        <v>0</v>
      </c>
      <c r="M23" s="149">
        <f t="shared" si="8"/>
        <v>0</v>
      </c>
      <c r="N23" s="149">
        <f t="shared" si="9"/>
        <v>0</v>
      </c>
      <c r="O23" s="149">
        <f t="shared" si="10"/>
        <v>0</v>
      </c>
      <c r="P23" s="151">
        <f t="shared" si="11"/>
        <v>0</v>
      </c>
    </row>
    <row r="24" spans="1:16" s="45" customFormat="1" x14ac:dyDescent="0.25">
      <c r="A24" s="244">
        <v>11</v>
      </c>
      <c r="B24" s="245"/>
      <c r="C24" s="248" t="s">
        <v>220</v>
      </c>
      <c r="D24" s="245" t="s">
        <v>75</v>
      </c>
      <c r="E24" s="245">
        <v>201</v>
      </c>
      <c r="F24" s="155"/>
      <c r="G24" s="155"/>
      <c r="H24" s="156"/>
      <c r="I24" s="156"/>
      <c r="J24" s="156"/>
      <c r="K24" s="149">
        <f t="shared" si="6"/>
        <v>0</v>
      </c>
      <c r="L24" s="150">
        <f t="shared" si="7"/>
        <v>0</v>
      </c>
      <c r="M24" s="149">
        <f t="shared" si="8"/>
        <v>0</v>
      </c>
      <c r="N24" s="149">
        <f t="shared" si="9"/>
        <v>0</v>
      </c>
      <c r="O24" s="149">
        <f t="shared" si="10"/>
        <v>0</v>
      </c>
      <c r="P24" s="151">
        <f t="shared" si="11"/>
        <v>0</v>
      </c>
    </row>
    <row r="25" spans="1:16" s="45" customFormat="1" x14ac:dyDescent="0.25">
      <c r="A25" s="244">
        <v>12</v>
      </c>
      <c r="B25" s="245"/>
      <c r="C25" s="248" t="s">
        <v>221</v>
      </c>
      <c r="D25" s="245" t="s">
        <v>75</v>
      </c>
      <c r="E25" s="245">
        <v>258</v>
      </c>
      <c r="F25" s="155"/>
      <c r="G25" s="155"/>
      <c r="H25" s="156"/>
      <c r="I25" s="156"/>
      <c r="J25" s="156"/>
      <c r="K25" s="149">
        <f t="shared" si="6"/>
        <v>0</v>
      </c>
      <c r="L25" s="150">
        <f t="shared" si="7"/>
        <v>0</v>
      </c>
      <c r="M25" s="149">
        <f t="shared" si="8"/>
        <v>0</v>
      </c>
      <c r="N25" s="149">
        <f t="shared" si="9"/>
        <v>0</v>
      </c>
      <c r="O25" s="149">
        <f t="shared" si="10"/>
        <v>0</v>
      </c>
      <c r="P25" s="151">
        <f t="shared" si="11"/>
        <v>0</v>
      </c>
    </row>
    <row r="26" spans="1:16" s="45" customFormat="1" x14ac:dyDescent="0.25">
      <c r="A26" s="244">
        <v>13</v>
      </c>
      <c r="B26" s="245"/>
      <c r="C26" s="248" t="s">
        <v>222</v>
      </c>
      <c r="D26" s="245" t="s">
        <v>75</v>
      </c>
      <c r="E26" s="245">
        <v>828</v>
      </c>
      <c r="F26" s="155"/>
      <c r="G26" s="155"/>
      <c r="H26" s="156"/>
      <c r="I26" s="156"/>
      <c r="J26" s="156"/>
      <c r="K26" s="149">
        <f t="shared" si="6"/>
        <v>0</v>
      </c>
      <c r="L26" s="150">
        <f t="shared" si="7"/>
        <v>0</v>
      </c>
      <c r="M26" s="149">
        <f t="shared" si="8"/>
        <v>0</v>
      </c>
      <c r="N26" s="149">
        <f t="shared" si="9"/>
        <v>0</v>
      </c>
      <c r="O26" s="149">
        <f t="shared" si="10"/>
        <v>0</v>
      </c>
      <c r="P26" s="151">
        <f t="shared" si="11"/>
        <v>0</v>
      </c>
    </row>
    <row r="27" spans="1:16" s="45" customFormat="1" x14ac:dyDescent="0.25">
      <c r="A27" s="244">
        <v>14</v>
      </c>
      <c r="B27" s="245"/>
      <c r="C27" s="248" t="s">
        <v>223</v>
      </c>
      <c r="D27" s="245" t="s">
        <v>75</v>
      </c>
      <c r="E27" s="245">
        <v>36</v>
      </c>
      <c r="F27" s="155"/>
      <c r="G27" s="155"/>
      <c r="H27" s="156"/>
      <c r="I27" s="156"/>
      <c r="J27" s="156"/>
      <c r="K27" s="149">
        <f t="shared" si="6"/>
        <v>0</v>
      </c>
      <c r="L27" s="150">
        <f t="shared" si="7"/>
        <v>0</v>
      </c>
      <c r="M27" s="149">
        <f t="shared" si="8"/>
        <v>0</v>
      </c>
      <c r="N27" s="149">
        <f t="shared" si="9"/>
        <v>0</v>
      </c>
      <c r="O27" s="149">
        <f t="shared" si="10"/>
        <v>0</v>
      </c>
      <c r="P27" s="151">
        <f t="shared" si="11"/>
        <v>0</v>
      </c>
    </row>
    <row r="28" spans="1:16" s="45" customFormat="1" x14ac:dyDescent="0.25">
      <c r="A28" s="244">
        <v>15</v>
      </c>
      <c r="B28" s="245"/>
      <c r="C28" s="249" t="s">
        <v>224</v>
      </c>
      <c r="D28" s="245" t="s">
        <v>75</v>
      </c>
      <c r="E28" s="245">
        <v>69</v>
      </c>
      <c r="F28" s="155"/>
      <c r="G28" s="155"/>
      <c r="H28" s="156"/>
      <c r="I28" s="156"/>
      <c r="J28" s="156"/>
      <c r="K28" s="149">
        <f t="shared" si="6"/>
        <v>0</v>
      </c>
      <c r="L28" s="150">
        <f t="shared" si="7"/>
        <v>0</v>
      </c>
      <c r="M28" s="149">
        <f t="shared" si="8"/>
        <v>0</v>
      </c>
      <c r="N28" s="149">
        <f t="shared" si="9"/>
        <v>0</v>
      </c>
      <c r="O28" s="149">
        <f t="shared" si="10"/>
        <v>0</v>
      </c>
      <c r="P28" s="151">
        <f t="shared" si="11"/>
        <v>0</v>
      </c>
    </row>
    <row r="29" spans="1:16" s="45" customFormat="1" x14ac:dyDescent="0.25">
      <c r="A29" s="244">
        <v>16</v>
      </c>
      <c r="B29" s="245"/>
      <c r="C29" s="249" t="s">
        <v>225</v>
      </c>
      <c r="D29" s="245" t="s">
        <v>75</v>
      </c>
      <c r="E29" s="245">
        <v>63</v>
      </c>
      <c r="F29" s="155"/>
      <c r="G29" s="155"/>
      <c r="H29" s="156"/>
      <c r="I29" s="156"/>
      <c r="J29" s="156"/>
      <c r="K29" s="149">
        <f t="shared" si="6"/>
        <v>0</v>
      </c>
      <c r="L29" s="150">
        <f t="shared" si="7"/>
        <v>0</v>
      </c>
      <c r="M29" s="149">
        <f t="shared" si="8"/>
        <v>0</v>
      </c>
      <c r="N29" s="149">
        <f t="shared" si="9"/>
        <v>0</v>
      </c>
      <c r="O29" s="149">
        <f t="shared" si="10"/>
        <v>0</v>
      </c>
      <c r="P29" s="151">
        <f t="shared" si="11"/>
        <v>0</v>
      </c>
    </row>
    <row r="30" spans="1:16" s="45" customFormat="1" x14ac:dyDescent="0.25">
      <c r="A30" s="244">
        <v>17</v>
      </c>
      <c r="B30" s="245"/>
      <c r="C30" s="250" t="s">
        <v>226</v>
      </c>
      <c r="D30" s="245" t="s">
        <v>75</v>
      </c>
      <c r="E30" s="245">
        <v>364</v>
      </c>
      <c r="F30" s="155"/>
      <c r="G30" s="155"/>
      <c r="H30" s="156"/>
      <c r="I30" s="156"/>
      <c r="J30" s="156"/>
      <c r="K30" s="149">
        <f t="shared" si="6"/>
        <v>0</v>
      </c>
      <c r="L30" s="150">
        <f t="shared" si="7"/>
        <v>0</v>
      </c>
      <c r="M30" s="149">
        <f t="shared" si="8"/>
        <v>0</v>
      </c>
      <c r="N30" s="149">
        <f t="shared" si="9"/>
        <v>0</v>
      </c>
      <c r="O30" s="149">
        <f t="shared" si="10"/>
        <v>0</v>
      </c>
      <c r="P30" s="151">
        <f t="shared" si="11"/>
        <v>0</v>
      </c>
    </row>
    <row r="31" spans="1:16" s="45" customFormat="1" x14ac:dyDescent="0.25">
      <c r="A31" s="244">
        <v>18</v>
      </c>
      <c r="B31" s="245"/>
      <c r="C31" s="250" t="s">
        <v>227</v>
      </c>
      <c r="D31" s="245" t="s">
        <v>75</v>
      </c>
      <c r="E31" s="245">
        <v>89</v>
      </c>
      <c r="F31" s="155"/>
      <c r="G31" s="155"/>
      <c r="H31" s="156"/>
      <c r="I31" s="156"/>
      <c r="J31" s="156"/>
      <c r="K31" s="149">
        <f t="shared" si="6"/>
        <v>0</v>
      </c>
      <c r="L31" s="150">
        <f t="shared" si="7"/>
        <v>0</v>
      </c>
      <c r="M31" s="149">
        <f t="shared" si="8"/>
        <v>0</v>
      </c>
      <c r="N31" s="149">
        <f t="shared" si="9"/>
        <v>0</v>
      </c>
      <c r="O31" s="149">
        <f t="shared" si="10"/>
        <v>0</v>
      </c>
      <c r="P31" s="151">
        <f t="shared" si="11"/>
        <v>0</v>
      </c>
    </row>
    <row r="32" spans="1:16" s="45" customFormat="1" x14ac:dyDescent="0.25">
      <c r="A32" s="244">
        <v>19</v>
      </c>
      <c r="B32" s="245"/>
      <c r="C32" s="246" t="s">
        <v>228</v>
      </c>
      <c r="D32" s="245" t="s">
        <v>75</v>
      </c>
      <c r="E32" s="245">
        <v>56</v>
      </c>
      <c r="F32" s="155"/>
      <c r="G32" s="155"/>
      <c r="H32" s="156"/>
      <c r="I32" s="156"/>
      <c r="J32" s="156"/>
      <c r="K32" s="149">
        <f t="shared" si="6"/>
        <v>0</v>
      </c>
      <c r="L32" s="150">
        <f t="shared" si="7"/>
        <v>0</v>
      </c>
      <c r="M32" s="149">
        <f t="shared" si="8"/>
        <v>0</v>
      </c>
      <c r="N32" s="149">
        <f t="shared" si="9"/>
        <v>0</v>
      </c>
      <c r="O32" s="149">
        <f t="shared" si="10"/>
        <v>0</v>
      </c>
      <c r="P32" s="151">
        <f t="shared" si="11"/>
        <v>0</v>
      </c>
    </row>
    <row r="33" spans="1:16" s="45" customFormat="1" x14ac:dyDescent="0.25">
      <c r="A33" s="244">
        <v>20</v>
      </c>
      <c r="B33" s="245"/>
      <c r="C33" s="246" t="s">
        <v>229</v>
      </c>
      <c r="D33" s="245" t="s">
        <v>75</v>
      </c>
      <c r="E33" s="245">
        <v>140</v>
      </c>
      <c r="F33" s="155"/>
      <c r="G33" s="155"/>
      <c r="H33" s="156"/>
      <c r="I33" s="156"/>
      <c r="J33" s="156"/>
      <c r="K33" s="149">
        <f t="shared" si="6"/>
        <v>0</v>
      </c>
      <c r="L33" s="150">
        <f t="shared" si="7"/>
        <v>0</v>
      </c>
      <c r="M33" s="149">
        <f t="shared" si="8"/>
        <v>0</v>
      </c>
      <c r="N33" s="149">
        <f t="shared" si="9"/>
        <v>0</v>
      </c>
      <c r="O33" s="149">
        <f t="shared" si="10"/>
        <v>0</v>
      </c>
      <c r="P33" s="151">
        <f t="shared" si="11"/>
        <v>0</v>
      </c>
    </row>
    <row r="34" spans="1:16" s="45" customFormat="1" x14ac:dyDescent="0.25">
      <c r="A34" s="244">
        <v>21</v>
      </c>
      <c r="B34" s="245"/>
      <c r="C34" s="246" t="s">
        <v>230</v>
      </c>
      <c r="D34" s="245" t="s">
        <v>75</v>
      </c>
      <c r="E34" s="245">
        <f>435+317</f>
        <v>752</v>
      </c>
      <c r="F34" s="155"/>
      <c r="G34" s="155"/>
      <c r="H34" s="156"/>
      <c r="I34" s="156"/>
      <c r="J34" s="156"/>
      <c r="K34" s="149">
        <f t="shared" si="6"/>
        <v>0</v>
      </c>
      <c r="L34" s="150">
        <f t="shared" si="7"/>
        <v>0</v>
      </c>
      <c r="M34" s="149">
        <f t="shared" si="8"/>
        <v>0</v>
      </c>
      <c r="N34" s="149">
        <f t="shared" si="9"/>
        <v>0</v>
      </c>
      <c r="O34" s="149">
        <f t="shared" si="10"/>
        <v>0</v>
      </c>
      <c r="P34" s="151">
        <f t="shared" si="11"/>
        <v>0</v>
      </c>
    </row>
    <row r="35" spans="1:16" s="45" customFormat="1" x14ac:dyDescent="0.25">
      <c r="A35" s="244">
        <v>22</v>
      </c>
      <c r="B35" s="245"/>
      <c r="C35" s="246" t="s">
        <v>231</v>
      </c>
      <c r="D35" s="245" t="s">
        <v>75</v>
      </c>
      <c r="E35" s="245">
        <v>60</v>
      </c>
      <c r="F35" s="155"/>
      <c r="G35" s="155"/>
      <c r="H35" s="156"/>
      <c r="I35" s="156"/>
      <c r="J35" s="156"/>
      <c r="K35" s="149">
        <f t="shared" si="6"/>
        <v>0</v>
      </c>
      <c r="L35" s="150">
        <f t="shared" si="7"/>
        <v>0</v>
      </c>
      <c r="M35" s="149">
        <f t="shared" si="8"/>
        <v>0</v>
      </c>
      <c r="N35" s="149">
        <f t="shared" si="9"/>
        <v>0</v>
      </c>
      <c r="O35" s="149">
        <f t="shared" si="10"/>
        <v>0</v>
      </c>
      <c r="P35" s="151">
        <f t="shared" si="11"/>
        <v>0</v>
      </c>
    </row>
    <row r="36" spans="1:16" s="45" customFormat="1" x14ac:dyDescent="0.25">
      <c r="A36" s="244">
        <v>23</v>
      </c>
      <c r="B36" s="245"/>
      <c r="C36" s="246" t="s">
        <v>232</v>
      </c>
      <c r="D36" s="245" t="s">
        <v>75</v>
      </c>
      <c r="E36" s="245">
        <v>60</v>
      </c>
      <c r="F36" s="155"/>
      <c r="G36" s="155"/>
      <c r="H36" s="156"/>
      <c r="I36" s="156"/>
      <c r="J36" s="156"/>
      <c r="K36" s="149">
        <f t="shared" si="6"/>
        <v>0</v>
      </c>
      <c r="L36" s="150">
        <f t="shared" si="7"/>
        <v>0</v>
      </c>
      <c r="M36" s="149">
        <f t="shared" si="8"/>
        <v>0</v>
      </c>
      <c r="N36" s="149">
        <f t="shared" si="9"/>
        <v>0</v>
      </c>
      <c r="O36" s="149">
        <f t="shared" si="10"/>
        <v>0</v>
      </c>
      <c r="P36" s="151">
        <f t="shared" si="11"/>
        <v>0</v>
      </c>
    </row>
    <row r="37" spans="1:16" s="45" customFormat="1" x14ac:dyDescent="0.25">
      <c r="A37" s="244">
        <v>24</v>
      </c>
      <c r="B37" s="245"/>
      <c r="C37" s="246" t="s">
        <v>233</v>
      </c>
      <c r="D37" s="245" t="s">
        <v>100</v>
      </c>
      <c r="E37" s="245">
        <v>174</v>
      </c>
      <c r="F37" s="155"/>
      <c r="G37" s="155"/>
      <c r="H37" s="156"/>
      <c r="I37" s="156"/>
      <c r="J37" s="156"/>
      <c r="K37" s="149">
        <f t="shared" si="6"/>
        <v>0</v>
      </c>
      <c r="L37" s="150">
        <f t="shared" si="7"/>
        <v>0</v>
      </c>
      <c r="M37" s="149">
        <f t="shared" si="8"/>
        <v>0</v>
      </c>
      <c r="N37" s="149">
        <f t="shared" si="9"/>
        <v>0</v>
      </c>
      <c r="O37" s="149">
        <f t="shared" si="10"/>
        <v>0</v>
      </c>
      <c r="P37" s="151">
        <f t="shared" si="11"/>
        <v>0</v>
      </c>
    </row>
    <row r="38" spans="1:16" s="45" customFormat="1" ht="16.2" x14ac:dyDescent="0.25">
      <c r="A38" s="244">
        <v>25</v>
      </c>
      <c r="B38" s="245"/>
      <c r="C38" s="247" t="s">
        <v>234</v>
      </c>
      <c r="D38" s="245" t="s">
        <v>75</v>
      </c>
      <c r="E38" s="245">
        <v>20</v>
      </c>
      <c r="F38" s="155"/>
      <c r="G38" s="155"/>
      <c r="H38" s="156"/>
      <c r="I38" s="156"/>
      <c r="J38" s="156"/>
      <c r="K38" s="149">
        <f t="shared" si="6"/>
        <v>0</v>
      </c>
      <c r="L38" s="150">
        <f t="shared" si="7"/>
        <v>0</v>
      </c>
      <c r="M38" s="149">
        <f t="shared" si="8"/>
        <v>0</v>
      </c>
      <c r="N38" s="149">
        <f t="shared" si="9"/>
        <v>0</v>
      </c>
      <c r="O38" s="149">
        <f t="shared" si="10"/>
        <v>0</v>
      </c>
      <c r="P38" s="151">
        <f t="shared" si="11"/>
        <v>0</v>
      </c>
    </row>
    <row r="39" spans="1:16" s="45" customFormat="1" ht="16.2" x14ac:dyDescent="0.25">
      <c r="A39" s="244">
        <v>26</v>
      </c>
      <c r="B39" s="245"/>
      <c r="C39" s="247" t="s">
        <v>235</v>
      </c>
      <c r="D39" s="245" t="s">
        <v>75</v>
      </c>
      <c r="E39" s="245">
        <v>15</v>
      </c>
      <c r="F39" s="155"/>
      <c r="G39" s="155"/>
      <c r="H39" s="156"/>
      <c r="I39" s="156"/>
      <c r="J39" s="156"/>
      <c r="K39" s="149">
        <f t="shared" si="6"/>
        <v>0</v>
      </c>
      <c r="L39" s="150">
        <f t="shared" si="7"/>
        <v>0</v>
      </c>
      <c r="M39" s="149">
        <f t="shared" si="8"/>
        <v>0</v>
      </c>
      <c r="N39" s="149">
        <f t="shared" si="9"/>
        <v>0</v>
      </c>
      <c r="O39" s="149">
        <f t="shared" si="10"/>
        <v>0</v>
      </c>
      <c r="P39" s="151">
        <f t="shared" si="11"/>
        <v>0</v>
      </c>
    </row>
    <row r="40" spans="1:16" s="45" customFormat="1" x14ac:dyDescent="0.25">
      <c r="A40" s="244">
        <v>27</v>
      </c>
      <c r="B40" s="245"/>
      <c r="C40" s="246" t="s">
        <v>236</v>
      </c>
      <c r="D40" s="245" t="s">
        <v>78</v>
      </c>
      <c r="E40" s="245">
        <v>1</v>
      </c>
      <c r="F40" s="155"/>
      <c r="G40" s="155"/>
      <c r="H40" s="156"/>
      <c r="I40" s="156"/>
      <c r="J40" s="156"/>
      <c r="K40" s="149">
        <f t="shared" si="6"/>
        <v>0</v>
      </c>
      <c r="L40" s="150">
        <f t="shared" si="7"/>
        <v>0</v>
      </c>
      <c r="M40" s="149">
        <f t="shared" si="8"/>
        <v>0</v>
      </c>
      <c r="N40" s="149">
        <f t="shared" si="9"/>
        <v>0</v>
      </c>
      <c r="O40" s="149">
        <f t="shared" si="10"/>
        <v>0</v>
      </c>
      <c r="P40" s="151">
        <f t="shared" si="11"/>
        <v>0</v>
      </c>
    </row>
    <row r="41" spans="1:16" s="45" customFormat="1" ht="15.6" x14ac:dyDescent="0.3">
      <c r="A41" s="251"/>
      <c r="B41" s="252"/>
      <c r="C41" s="253" t="s">
        <v>237</v>
      </c>
      <c r="D41" s="253"/>
      <c r="E41" s="253"/>
      <c r="F41" s="155"/>
      <c r="G41" s="155"/>
      <c r="H41" s="156"/>
      <c r="I41" s="156"/>
      <c r="J41" s="156"/>
      <c r="K41" s="149">
        <f t="shared" si="6"/>
        <v>0</v>
      </c>
      <c r="L41" s="150">
        <f t="shared" si="7"/>
        <v>0</v>
      </c>
      <c r="M41" s="149">
        <f t="shared" si="8"/>
        <v>0</v>
      </c>
      <c r="N41" s="149">
        <f t="shared" si="9"/>
        <v>0</v>
      </c>
      <c r="O41" s="149">
        <f t="shared" si="10"/>
        <v>0</v>
      </c>
      <c r="P41" s="151">
        <f t="shared" si="11"/>
        <v>0</v>
      </c>
    </row>
    <row r="42" spans="1:16" s="45" customFormat="1" x14ac:dyDescent="0.25">
      <c r="A42" s="244">
        <v>28</v>
      </c>
      <c r="B42" s="245"/>
      <c r="C42" s="246" t="s">
        <v>238</v>
      </c>
      <c r="D42" s="245" t="s">
        <v>78</v>
      </c>
      <c r="E42" s="245">
        <v>1</v>
      </c>
      <c r="F42" s="155"/>
      <c r="G42" s="155"/>
      <c r="H42" s="156"/>
      <c r="I42" s="156"/>
      <c r="J42" s="156"/>
      <c r="K42" s="149">
        <f t="shared" si="6"/>
        <v>0</v>
      </c>
      <c r="L42" s="150">
        <f t="shared" si="7"/>
        <v>0</v>
      </c>
      <c r="M42" s="149">
        <f t="shared" si="8"/>
        <v>0</v>
      </c>
      <c r="N42" s="149">
        <f t="shared" si="9"/>
        <v>0</v>
      </c>
      <c r="O42" s="149">
        <f t="shared" si="10"/>
        <v>0</v>
      </c>
      <c r="P42" s="151">
        <f t="shared" si="11"/>
        <v>0</v>
      </c>
    </row>
    <row r="43" spans="1:16" s="45" customFormat="1" x14ac:dyDescent="0.25">
      <c r="A43" s="244">
        <v>29</v>
      </c>
      <c r="B43" s="245"/>
      <c r="C43" s="246" t="s">
        <v>239</v>
      </c>
      <c r="D43" s="245" t="s">
        <v>78</v>
      </c>
      <c r="E43" s="245">
        <v>1</v>
      </c>
      <c r="F43" s="155"/>
      <c r="G43" s="155"/>
      <c r="H43" s="156"/>
      <c r="I43" s="156"/>
      <c r="J43" s="156"/>
      <c r="K43" s="149">
        <f t="shared" si="6"/>
        <v>0</v>
      </c>
      <c r="L43" s="150">
        <f t="shared" si="7"/>
        <v>0</v>
      </c>
      <c r="M43" s="149">
        <f t="shared" si="8"/>
        <v>0</v>
      </c>
      <c r="N43" s="149">
        <f t="shared" si="9"/>
        <v>0</v>
      </c>
      <c r="O43" s="149">
        <f t="shared" si="10"/>
        <v>0</v>
      </c>
      <c r="P43" s="151">
        <f t="shared" si="11"/>
        <v>0</v>
      </c>
    </row>
    <row r="44" spans="1:16" s="45" customFormat="1" x14ac:dyDescent="0.25">
      <c r="A44" s="244">
        <v>30</v>
      </c>
      <c r="B44" s="245"/>
      <c r="C44" s="246" t="s">
        <v>240</v>
      </c>
      <c r="D44" s="245" t="s">
        <v>241</v>
      </c>
      <c r="E44" s="245">
        <v>1</v>
      </c>
      <c r="F44" s="155"/>
      <c r="G44" s="155"/>
      <c r="H44" s="156"/>
      <c r="I44" s="156"/>
      <c r="J44" s="156"/>
      <c r="K44" s="149">
        <f t="shared" si="6"/>
        <v>0</v>
      </c>
      <c r="L44" s="150">
        <f t="shared" si="7"/>
        <v>0</v>
      </c>
      <c r="M44" s="149">
        <f t="shared" si="8"/>
        <v>0</v>
      </c>
      <c r="N44" s="149">
        <f t="shared" si="9"/>
        <v>0</v>
      </c>
      <c r="O44" s="149">
        <f t="shared" si="10"/>
        <v>0</v>
      </c>
      <c r="P44" s="151">
        <f t="shared" si="11"/>
        <v>0</v>
      </c>
    </row>
    <row r="45" spans="1:16" s="45" customFormat="1" x14ac:dyDescent="0.25">
      <c r="A45" s="189"/>
      <c r="B45" s="190"/>
      <c r="C45" s="191"/>
      <c r="D45" s="192"/>
      <c r="E45" s="193"/>
      <c r="F45" s="194">
        <v>0</v>
      </c>
      <c r="G45" s="194">
        <v>0</v>
      </c>
      <c r="H45" s="194"/>
      <c r="I45" s="193"/>
      <c r="J45" s="193"/>
      <c r="K45" s="193"/>
      <c r="L45" s="193"/>
      <c r="M45" s="193"/>
      <c r="N45" s="193"/>
      <c r="O45" s="193"/>
      <c r="P45" s="195"/>
    </row>
    <row r="46" spans="1:16" ht="15.3" customHeight="1" x14ac:dyDescent="0.25">
      <c r="A46" s="35"/>
      <c r="B46" s="94"/>
      <c r="C46" s="332" t="s">
        <v>71</v>
      </c>
      <c r="D46" s="333"/>
      <c r="E46" s="333"/>
      <c r="F46" s="333"/>
      <c r="G46" s="333"/>
      <c r="H46" s="333"/>
      <c r="I46" s="333"/>
      <c r="J46" s="333"/>
      <c r="K46" s="334"/>
      <c r="L46" s="36">
        <f>SUM(L13:L45)</f>
        <v>0</v>
      </c>
      <c r="M46" s="36">
        <f>SUM(M13:M45)</f>
        <v>0</v>
      </c>
      <c r="N46" s="36">
        <f>SUM(N13:N45)</f>
        <v>0</v>
      </c>
      <c r="O46" s="36">
        <f>SUM(O13:O45)</f>
        <v>0</v>
      </c>
      <c r="P46" s="36">
        <f>SUM(P13:P45)</f>
        <v>0</v>
      </c>
    </row>
    <row r="47" spans="1:16" s="101" customFormat="1" x14ac:dyDescent="0.25">
      <c r="I47" s="122"/>
    </row>
    <row r="48" spans="1:16" customFormat="1" ht="12.75" customHeight="1" x14ac:dyDescent="0.25">
      <c r="B48" s="123" t="s">
        <v>41</v>
      </c>
    </row>
    <row r="49" spans="1:16" customFormat="1" ht="45" customHeight="1" x14ac:dyDescent="0.25">
      <c r="A49" s="317" t="str">
        <f>'1,1'!A30:G30</f>
        <v>Visas atsauces uz materiālu un izstrādājumu izgatavotaj firmām, kuras norādītas būvprojektā, liecina tikai par šo materiālu un izstrādājumu tehniskajiem parametriem un kvalitātes līmeni, to nomaiņa ir iespējama ar citiem tehniski un kvalitatīvi ekvivalentiem būvizstrādājumiem, iepriekš saskaņojot tos ar projekta autoriem un uzrādot atbilstības sertifikātus.</v>
      </c>
      <c r="B49" s="317"/>
      <c r="C49" s="317"/>
      <c r="D49" s="317"/>
      <c r="E49" s="317"/>
      <c r="F49" s="317"/>
      <c r="G49" s="317"/>
      <c r="H49" s="317"/>
      <c r="I49" s="317"/>
      <c r="J49" s="317"/>
      <c r="K49" s="317"/>
      <c r="L49" s="317"/>
      <c r="M49" s="317"/>
      <c r="N49" s="317"/>
      <c r="O49" s="317"/>
      <c r="P49" s="317"/>
    </row>
    <row r="50" spans="1:16" customFormat="1" ht="76.8" customHeight="1" x14ac:dyDescent="0.25">
      <c r="A50" s="317"/>
      <c r="B50" s="317"/>
      <c r="C50" s="317"/>
      <c r="D50" s="317"/>
      <c r="E50" s="317"/>
      <c r="F50" s="317"/>
      <c r="G50" s="317"/>
      <c r="H50" s="317"/>
      <c r="I50" s="317"/>
      <c r="J50" s="317"/>
      <c r="K50" s="317"/>
      <c r="L50" s="317"/>
      <c r="M50" s="317"/>
      <c r="N50" s="317"/>
      <c r="O50" s="317"/>
      <c r="P50" s="317"/>
    </row>
    <row r="51" spans="1:16" customFormat="1" ht="12.75" customHeight="1" x14ac:dyDescent="0.25">
      <c r="B51" s="124"/>
    </row>
    <row r="52" spans="1:16" customFormat="1" ht="12.75" customHeight="1" x14ac:dyDescent="0.25">
      <c r="B52" s="124"/>
    </row>
    <row r="53" spans="1:16" s="101" customFormat="1" x14ac:dyDescent="0.25">
      <c r="B53" s="101" t="s">
        <v>8</v>
      </c>
      <c r="L53" s="129" t="str">
        <f>Koptame!B39</f>
        <v>Pārbaudīja:</v>
      </c>
      <c r="M53" s="129"/>
      <c r="N53" s="129"/>
      <c r="O53" s="129"/>
      <c r="P53" s="129"/>
    </row>
    <row r="54" spans="1:16" s="101" customFormat="1" x14ac:dyDescent="0.25">
      <c r="C54" s="121">
        <f>Koptame!C34</f>
        <v>0</v>
      </c>
      <c r="L54" s="121"/>
      <c r="M54" s="314">
        <f>Koptame!C40</f>
        <v>0</v>
      </c>
      <c r="N54" s="314"/>
      <c r="O54" s="129"/>
      <c r="P54" s="129"/>
    </row>
    <row r="55" spans="1:16" s="101" customFormat="1" x14ac:dyDescent="0.25">
      <c r="C55" s="120">
        <f>Koptame!C35</f>
        <v>0</v>
      </c>
      <c r="L55" s="120"/>
      <c r="M55" s="315">
        <f>Koptame!C41</f>
        <v>0</v>
      </c>
      <c r="N55" s="315"/>
      <c r="O55" s="129"/>
      <c r="P55" s="129"/>
    </row>
    <row r="56" spans="1:16" s="101" customFormat="1" collapsed="1" x14ac:dyDescent="0.25">
      <c r="B56" s="122"/>
      <c r="F56" s="122"/>
      <c r="G56" s="122"/>
    </row>
    <row r="57" spans="1:16" x14ac:dyDescent="0.25">
      <c r="B57" s="45"/>
      <c r="F57" s="45"/>
      <c r="G57" s="45"/>
      <c r="I57" s="15"/>
    </row>
    <row r="58" spans="1:16" x14ac:dyDescent="0.25">
      <c r="B58" s="45"/>
      <c r="F58" s="45"/>
      <c r="G58" s="45"/>
      <c r="I58" s="15"/>
    </row>
  </sheetData>
  <mergeCells count="17">
    <mergeCell ref="F11:K11"/>
    <mergeCell ref="L11:P11"/>
    <mergeCell ref="A11:A12"/>
    <mergeCell ref="B11:B12"/>
    <mergeCell ref="C11:C12"/>
    <mergeCell ref="D11:D12"/>
    <mergeCell ref="E11:E12"/>
    <mergeCell ref="A2:P2"/>
    <mergeCell ref="D3:P3"/>
    <mergeCell ref="D4:P4"/>
    <mergeCell ref="D5:P5"/>
    <mergeCell ref="L9:O9"/>
    <mergeCell ref="M54:N54"/>
    <mergeCell ref="A50:P50"/>
    <mergeCell ref="M55:N55"/>
    <mergeCell ref="A49:P49"/>
    <mergeCell ref="C46:K46"/>
  </mergeCells>
  <printOptions horizontalCentered="1"/>
  <pageMargins left="0.27559055118110237" right="0.27559055118110237" top="0.74803149606299213" bottom="0.74803149606299213" header="0.31496062992125984" footer="0.31496062992125984"/>
  <pageSetup paperSize="9" scale="72"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39997558519241921"/>
  </sheetPr>
  <dimension ref="A1:I38"/>
  <sheetViews>
    <sheetView showZeros="0" view="pageBreakPreview" topLeftCell="A15" zoomScale="90" zoomScaleNormal="100" zoomScaleSheetLayoutView="90" workbookViewId="0">
      <selection activeCell="E33" sqref="E33"/>
    </sheetView>
  </sheetViews>
  <sheetFormatPr defaultColWidth="9.109375" defaultRowHeight="13.2" x14ac:dyDescent="0.25"/>
  <cols>
    <col min="1" max="1" width="10.21875" style="52" customWidth="1"/>
    <col min="2" max="2" width="12.77734375" style="52" customWidth="1"/>
    <col min="3" max="3" width="32.77734375" style="52" customWidth="1"/>
    <col min="4" max="4" width="10" style="52" customWidth="1"/>
    <col min="5" max="5" width="13.21875" style="52" customWidth="1"/>
    <col min="6" max="6" width="13.77734375" style="52" customWidth="1"/>
    <col min="7" max="7" width="17.6640625" style="52" customWidth="1"/>
    <col min="8" max="8" width="12.88671875" style="52" customWidth="1"/>
    <col min="9" max="9" width="16" style="52" customWidth="1"/>
    <col min="10" max="16384" width="9.109375" style="52"/>
  </cols>
  <sheetData>
    <row r="1" spans="1:9" ht="17.399999999999999" x14ac:dyDescent="0.3">
      <c r="A1" s="51"/>
    </row>
    <row r="2" spans="1:9" ht="18" customHeight="1" x14ac:dyDescent="0.3">
      <c r="A2" s="299" t="s">
        <v>67</v>
      </c>
      <c r="B2" s="299"/>
      <c r="C2" s="299"/>
      <c r="D2" s="299"/>
      <c r="E2" s="299"/>
      <c r="F2" s="299"/>
      <c r="G2" s="299"/>
      <c r="H2" s="299"/>
      <c r="I2" s="299"/>
    </row>
    <row r="3" spans="1:9" ht="17.399999999999999" x14ac:dyDescent="0.25">
      <c r="C3" s="53"/>
      <c r="D3" s="54"/>
      <c r="F3" s="58"/>
      <c r="G3" s="58"/>
      <c r="H3" s="58"/>
      <c r="I3" s="58"/>
    </row>
    <row r="4" spans="1:9" ht="17.399999999999999" x14ac:dyDescent="0.25">
      <c r="C4" s="53"/>
      <c r="D4" s="54"/>
      <c r="F4" s="58"/>
      <c r="G4" s="58"/>
      <c r="H4" s="58"/>
      <c r="I4" s="58"/>
    </row>
    <row r="5" spans="1:9" x14ac:dyDescent="0.25">
      <c r="A5" s="57"/>
    </row>
    <row r="6" spans="1:9" ht="17.399999999999999" x14ac:dyDescent="0.3">
      <c r="A6" s="306" t="str">
        <f>Koptame!C23</f>
        <v>Specializētie darbi-ārējie tīkli, sistēmas</v>
      </c>
      <c r="B6" s="307"/>
      <c r="C6" s="307"/>
      <c r="D6" s="307"/>
      <c r="E6" s="307"/>
      <c r="F6" s="307"/>
      <c r="G6" s="307"/>
      <c r="H6" s="307"/>
      <c r="I6" s="308"/>
    </row>
    <row r="7" spans="1:9" x14ac:dyDescent="0.25">
      <c r="A7" s="57"/>
    </row>
    <row r="8" spans="1:9" ht="15" x14ac:dyDescent="0.25">
      <c r="A8" s="309" t="s">
        <v>9</v>
      </c>
      <c r="B8" s="309"/>
      <c r="C8" s="293" t="str">
        <f>Koptame!C11</f>
        <v>Jaunlopu kūts</v>
      </c>
      <c r="D8" s="293"/>
      <c r="E8" s="293"/>
      <c r="F8" s="293"/>
      <c r="G8" s="293"/>
      <c r="H8" s="293"/>
      <c r="I8" s="293"/>
    </row>
    <row r="9" spans="1:9" ht="15.9" customHeight="1" x14ac:dyDescent="0.25">
      <c r="A9" s="298" t="s">
        <v>27</v>
      </c>
      <c r="B9" s="298"/>
      <c r="C9" s="293" t="str">
        <f>Koptame!C12</f>
        <v>Esošā šķūņa demontāža,jaunas jaunlopu kūts būvniecība un ceļu un laukumu izbūve īpašumā “Līci”,Sarkaņu pag.,Madonas nov.</v>
      </c>
      <c r="D9" s="293"/>
      <c r="E9" s="293"/>
      <c r="F9" s="293"/>
      <c r="G9" s="293"/>
      <c r="H9" s="293"/>
      <c r="I9" s="293"/>
    </row>
    <row r="10" spans="1:9" ht="15" x14ac:dyDescent="0.25">
      <c r="A10" s="298" t="s">
        <v>10</v>
      </c>
      <c r="B10" s="298"/>
      <c r="C10" s="293" t="str">
        <f>Koptame!C13</f>
        <v>“Līci”,Sarkaņu pag.,Madonas nov.</v>
      </c>
      <c r="D10" s="293"/>
      <c r="E10" s="293"/>
      <c r="F10" s="293"/>
      <c r="G10" s="293"/>
      <c r="H10" s="293"/>
      <c r="I10" s="293"/>
    </row>
    <row r="11" spans="1:9" ht="15" x14ac:dyDescent="0.25">
      <c r="A11" s="298" t="str">
        <f>Koptame!B14</f>
        <v>Pasūtījuma Nr.</v>
      </c>
      <c r="B11" s="298"/>
      <c r="C11" s="81" t="str">
        <f>Koptame!C14</f>
        <v xml:space="preserve"> L-25-10-45</v>
      </c>
      <c r="D11" s="58"/>
      <c r="F11" s="59"/>
      <c r="G11" s="59"/>
      <c r="H11" s="59"/>
      <c r="I11" s="59"/>
    </row>
    <row r="12" spans="1:9" ht="15.3" customHeight="1" x14ac:dyDescent="0.25">
      <c r="A12" s="79"/>
      <c r="B12" s="79"/>
      <c r="C12" s="58"/>
      <c r="D12" s="58"/>
      <c r="F12" s="59"/>
      <c r="G12" s="59"/>
      <c r="H12" s="59"/>
      <c r="I12" s="59"/>
    </row>
    <row r="13" spans="1:9" ht="18" customHeight="1" x14ac:dyDescent="0.25">
      <c r="A13" s="60"/>
      <c r="F13" s="302" t="s">
        <v>49</v>
      </c>
      <c r="G13" s="303"/>
      <c r="H13" s="55">
        <f>E27</f>
        <v>0</v>
      </c>
      <c r="I13" s="56"/>
    </row>
    <row r="14" spans="1:9" ht="17.399999999999999" x14ac:dyDescent="0.25">
      <c r="A14" s="60"/>
      <c r="F14" s="302" t="s">
        <v>14</v>
      </c>
      <c r="G14" s="303"/>
      <c r="H14" s="55">
        <f>I23</f>
        <v>0</v>
      </c>
      <c r="I14" s="56"/>
    </row>
    <row r="16" spans="1:9" ht="13.8" x14ac:dyDescent="0.25">
      <c r="G16" s="12"/>
      <c r="H16" s="12" t="str">
        <f>Koptame!D16</f>
        <v>Tāme sastādīta:  2026.gada 8.Aprīlī</v>
      </c>
    </row>
    <row r="17" spans="1:9" ht="15" x14ac:dyDescent="0.25">
      <c r="A17" s="61"/>
    </row>
    <row r="18" spans="1:9" ht="51.3" customHeight="1" x14ac:dyDescent="0.25">
      <c r="A18" s="294" t="s">
        <v>15</v>
      </c>
      <c r="B18" s="294" t="s">
        <v>16</v>
      </c>
      <c r="C18" s="310" t="s">
        <v>63</v>
      </c>
      <c r="D18" s="311"/>
      <c r="E18" s="294" t="s">
        <v>50</v>
      </c>
      <c r="F18" s="294" t="s">
        <v>17</v>
      </c>
      <c r="G18" s="294"/>
      <c r="H18" s="294"/>
      <c r="I18" s="294" t="s">
        <v>18</v>
      </c>
    </row>
    <row r="19" spans="1:9" ht="40.799999999999997" customHeight="1" x14ac:dyDescent="0.25">
      <c r="A19" s="294"/>
      <c r="B19" s="294"/>
      <c r="C19" s="312"/>
      <c r="D19" s="313"/>
      <c r="E19" s="294"/>
      <c r="F19" s="130" t="s">
        <v>51</v>
      </c>
      <c r="G19" s="130" t="s">
        <v>52</v>
      </c>
      <c r="H19" s="130" t="s">
        <v>53</v>
      </c>
      <c r="I19" s="294"/>
    </row>
    <row r="20" spans="1:9" ht="17.399999999999999" x14ac:dyDescent="0.25">
      <c r="A20" s="62"/>
      <c r="B20" s="63"/>
      <c r="C20" s="304"/>
      <c r="D20" s="305"/>
      <c r="E20" s="63"/>
      <c r="F20" s="63"/>
      <c r="G20" s="63"/>
      <c r="H20" s="63"/>
      <c r="I20" s="64"/>
    </row>
    <row r="21" spans="1:9" x14ac:dyDescent="0.25">
      <c r="A21" s="65">
        <v>1</v>
      </c>
      <c r="B21" s="66" t="s">
        <v>56</v>
      </c>
      <c r="C21" s="295" t="s">
        <v>93</v>
      </c>
      <c r="D21" s="296"/>
      <c r="E21" s="49">
        <f>'3,1'!P28</f>
        <v>0</v>
      </c>
      <c r="F21" s="49">
        <f>'3,1'!M28</f>
        <v>0</v>
      </c>
      <c r="G21" s="49">
        <f>'3,1'!N28</f>
        <v>0</v>
      </c>
      <c r="H21" s="49">
        <f>'3,1'!O28</f>
        <v>0</v>
      </c>
      <c r="I21" s="50">
        <f>'3,1'!L28</f>
        <v>0</v>
      </c>
    </row>
    <row r="22" spans="1:9" x14ac:dyDescent="0.25">
      <c r="A22" s="68"/>
      <c r="B22" s="69"/>
      <c r="C22" s="300"/>
      <c r="D22" s="301"/>
      <c r="E22" s="67"/>
      <c r="F22" s="139"/>
      <c r="G22" s="139"/>
      <c r="H22" s="139"/>
      <c r="I22" s="140"/>
    </row>
    <row r="23" spans="1:9" ht="16.5" customHeight="1" x14ac:dyDescent="0.25">
      <c r="A23" s="97"/>
      <c r="B23" s="97"/>
      <c r="C23" s="70" t="s">
        <v>19</v>
      </c>
      <c r="D23" s="70"/>
      <c r="E23" s="71">
        <f>SUM(E20:E22)</f>
        <v>0</v>
      </c>
      <c r="F23" s="71">
        <f>SUM(F20:F22)</f>
        <v>0</v>
      </c>
      <c r="G23" s="71">
        <f>SUM(G20:G22)</f>
        <v>0</v>
      </c>
      <c r="H23" s="71">
        <f>SUM(H20:H22)</f>
        <v>0</v>
      </c>
      <c r="I23" s="71">
        <f>SUM(I20:I22)</f>
        <v>0</v>
      </c>
    </row>
    <row r="24" spans="1:9" ht="15.6" x14ac:dyDescent="0.25">
      <c r="A24" s="297" t="s">
        <v>34</v>
      </c>
      <c r="B24" s="297"/>
      <c r="C24" s="297"/>
      <c r="D24" s="72">
        <f>kops1!$D$26</f>
        <v>0</v>
      </c>
      <c r="E24" s="73">
        <f>ROUND(E23*D24,2)</f>
        <v>0</v>
      </c>
      <c r="F24" s="59"/>
    </row>
    <row r="25" spans="1:9" ht="15.6" x14ac:dyDescent="0.3">
      <c r="A25" s="96"/>
      <c r="B25" s="96"/>
      <c r="C25" s="119" t="s">
        <v>40</v>
      </c>
      <c r="D25" s="72"/>
      <c r="E25" s="73">
        <f>E24*0.1</f>
        <v>0</v>
      </c>
      <c r="F25" s="59"/>
    </row>
    <row r="26" spans="1:9" ht="15.6" x14ac:dyDescent="0.25">
      <c r="A26" s="297" t="s">
        <v>28</v>
      </c>
      <c r="B26" s="297"/>
      <c r="C26" s="297"/>
      <c r="D26" s="72">
        <f>kops1!$D$28</f>
        <v>0</v>
      </c>
      <c r="E26" s="73">
        <f>ROUND(E23*D26,2)</f>
        <v>0</v>
      </c>
      <c r="F26" s="59"/>
    </row>
    <row r="27" spans="1:9" ht="18" customHeight="1" x14ac:dyDescent="0.25">
      <c r="A27" s="292"/>
      <c r="B27" s="292"/>
      <c r="C27" s="70" t="s">
        <v>20</v>
      </c>
      <c r="D27" s="70"/>
      <c r="E27" s="74">
        <f>E26+E24+E23</f>
        <v>0</v>
      </c>
      <c r="F27" s="59"/>
    </row>
    <row r="28" spans="1:9" ht="17.399999999999999" x14ac:dyDescent="0.3">
      <c r="A28" s="75"/>
    </row>
    <row r="29" spans="1:9" ht="17.399999999999999" x14ac:dyDescent="0.3">
      <c r="A29" s="75"/>
    </row>
    <row r="30" spans="1:9" ht="13.8" x14ac:dyDescent="0.25">
      <c r="A30" s="76"/>
      <c r="B30" s="2" t="s">
        <v>8</v>
      </c>
      <c r="C30" s="3"/>
      <c r="F30" s="59"/>
    </row>
    <row r="31" spans="1:9" ht="13.8" x14ac:dyDescent="0.25">
      <c r="A31" s="59"/>
      <c r="B31" s="3"/>
      <c r="C31" s="121">
        <f>Koptame!C34</f>
        <v>0</v>
      </c>
      <c r="D31" s="77"/>
      <c r="E31" s="77"/>
      <c r="F31" s="59"/>
    </row>
    <row r="32" spans="1:9" ht="13.8" x14ac:dyDescent="0.25">
      <c r="A32" s="78"/>
      <c r="B32" s="2"/>
      <c r="C32" s="120">
        <f>Koptame!C35</f>
        <v>0</v>
      </c>
      <c r="D32" s="59"/>
      <c r="E32" s="59"/>
      <c r="F32" s="59"/>
    </row>
    <row r="33" spans="2:3" ht="13.8" x14ac:dyDescent="0.25">
      <c r="B33" s="2"/>
      <c r="C33" s="120"/>
    </row>
    <row r="34" spans="2:3" ht="13.8" x14ac:dyDescent="0.25">
      <c r="B34" s="2"/>
    </row>
    <row r="35" spans="2:3" ht="13.8" x14ac:dyDescent="0.25">
      <c r="B35" s="4"/>
      <c r="C35" s="1"/>
    </row>
    <row r="36" spans="2:3" ht="13.8" x14ac:dyDescent="0.25">
      <c r="B36" s="2" t="str">
        <f>Koptame!B39</f>
        <v>Pārbaudīja:</v>
      </c>
      <c r="C36" s="100"/>
    </row>
    <row r="37" spans="2:3" ht="13.8" x14ac:dyDescent="0.25">
      <c r="B37" s="3"/>
      <c r="C37" s="121">
        <f>Koptame!C40</f>
        <v>0</v>
      </c>
    </row>
    <row r="38" spans="2:3" ht="13.8" x14ac:dyDescent="0.25">
      <c r="B38" s="2"/>
      <c r="C38" s="120">
        <f>Koptame!C41</f>
        <v>0</v>
      </c>
    </row>
  </sheetData>
  <mergeCells count="23">
    <mergeCell ref="A2:I2"/>
    <mergeCell ref="A6:I6"/>
    <mergeCell ref="A8:B8"/>
    <mergeCell ref="C8:I8"/>
    <mergeCell ref="A9:B9"/>
    <mergeCell ref="C9:I9"/>
    <mergeCell ref="A10:B10"/>
    <mergeCell ref="C10:I10"/>
    <mergeCell ref="A11:B11"/>
    <mergeCell ref="F13:G13"/>
    <mergeCell ref="F14:G14"/>
    <mergeCell ref="A27:B27"/>
    <mergeCell ref="C22:D22"/>
    <mergeCell ref="A24:C24"/>
    <mergeCell ref="I18:I19"/>
    <mergeCell ref="C20:D20"/>
    <mergeCell ref="C21:D21"/>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629645EAE4B1654EA9F8AD7B6F03BF41" ma:contentTypeVersion="13" ma:contentTypeDescription="Izveidot jaunu dokumentu." ma:contentTypeScope="" ma:versionID="39755cafffe2c2c05b35c4a58b63f404">
  <xsd:schema xmlns:xsd="http://www.w3.org/2001/XMLSchema" xmlns:xs="http://www.w3.org/2001/XMLSchema" xmlns:p="http://schemas.microsoft.com/office/2006/metadata/properties" xmlns:ns2="c12c9794-155a-4a9d-b43c-fe8e094bb837" xmlns:ns3="ec60e0eb-a8cb-442b-a8c1-54e5c32ba793" targetNamespace="http://schemas.microsoft.com/office/2006/metadata/properties" ma:root="true" ma:fieldsID="3a3efe9b9a5f4b73cc05e7018cea057d" ns2:_="" ns3:_="">
    <xsd:import namespace="c12c9794-155a-4a9d-b43c-fe8e094bb837"/>
    <xsd:import namespace="ec60e0eb-a8cb-442b-a8c1-54e5c32ba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2c9794-155a-4a9d-b43c-fe8e094bb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41dcd309-37ab-4821-9be6-015268860df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60e0eb-a8cb-442b-a8c1-54e5c32ba7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3802851-fbc7-4116-b262-b79b6723a315}" ma:internalName="TaxCatchAll" ma:showField="CatchAllData" ma:web="ec60e0eb-a8cb-442b-a8c1-54e5c32ba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c60e0eb-a8cb-442b-a8c1-54e5c32ba793" xsi:nil="true"/>
    <lcf76f155ced4ddcb4097134ff3c332f xmlns="c12c9794-155a-4a9d-b43c-fe8e094bb8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89A7A-B9A6-4BA3-AC81-E427FFEF0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2c9794-155a-4a9d-b43c-fe8e094bb837"/>
    <ds:schemaRef ds:uri="ec60e0eb-a8cb-442b-a8c1-54e5c32ba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A6E847-1557-4A8B-9719-B1B3BADB367A}">
  <ds:schemaRefs>
    <ds:schemaRef ds:uri="http://schemas.microsoft.com/office/2006/metadata/properties"/>
    <ds:schemaRef ds:uri="http://schemas.microsoft.com/office/infopath/2007/PartnerControls"/>
    <ds:schemaRef ds:uri="ec60e0eb-a8cb-442b-a8c1-54e5c32ba793"/>
    <ds:schemaRef ds:uri="c12c9794-155a-4a9d-b43c-fe8e094bb837"/>
  </ds:schemaRefs>
</ds:datastoreItem>
</file>

<file path=customXml/itemProps3.xml><?xml version="1.0" encoding="utf-8"?>
<ds:datastoreItem xmlns:ds="http://schemas.openxmlformats.org/officeDocument/2006/customXml" ds:itemID="{12EF14BE-C9F3-497C-929A-227F38D445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13</vt:i4>
      </vt:variant>
      <vt:variant>
        <vt:lpstr>Diapazoni ar nosaukumiem</vt:lpstr>
      </vt:variant>
      <vt:variant>
        <vt:i4>14</vt:i4>
      </vt:variant>
    </vt:vector>
  </HeadingPairs>
  <TitlesOfParts>
    <vt:vector size="27" baseType="lpstr">
      <vt:lpstr>Koptame</vt:lpstr>
      <vt:lpstr>kops1</vt:lpstr>
      <vt:lpstr>1,1</vt:lpstr>
      <vt:lpstr>1,2</vt:lpstr>
      <vt:lpstr>1,3</vt:lpstr>
      <vt:lpstr>kops2</vt:lpstr>
      <vt:lpstr>2,1</vt:lpstr>
      <vt:lpstr>2,2</vt:lpstr>
      <vt:lpstr>kops3</vt:lpstr>
      <vt:lpstr>3,1</vt:lpstr>
      <vt:lpstr>3,2</vt:lpstr>
      <vt:lpstr>kops4</vt:lpstr>
      <vt:lpstr>4,1</vt:lpstr>
      <vt:lpstr>'1,3'!Drukas_apgabals</vt:lpstr>
      <vt:lpstr>'3,2'!Drukas_apgabals</vt:lpstr>
      <vt:lpstr>Koptame!Drukas_apgabals</vt:lpstr>
      <vt:lpstr>'1,1'!Drukāt_virsrakstus</vt:lpstr>
      <vt:lpstr>'1,2'!Drukāt_virsrakstus</vt:lpstr>
      <vt:lpstr>'1,3'!Drukāt_virsrakstus</vt:lpstr>
      <vt:lpstr>'2,1'!Drukāt_virsrakstus</vt:lpstr>
      <vt:lpstr>'2,2'!Drukāt_virsrakstus</vt:lpstr>
      <vt:lpstr>'3,1'!Drukāt_virsrakstus</vt:lpstr>
      <vt:lpstr>'4,1'!Drukāt_virsrakstus</vt:lpstr>
      <vt:lpstr>kops1!Drukāt_virsrakstus</vt:lpstr>
      <vt:lpstr>kops2!Drukāt_virsrakstus</vt:lpstr>
      <vt:lpstr>kops3!Drukāt_virsrakstus</vt:lpstr>
      <vt:lpstr>kops4!Drukāt_virsrakstus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Jānis Kvants</cp:lastModifiedBy>
  <cp:lastPrinted>2015-12-02T17:47:40Z</cp:lastPrinted>
  <dcterms:created xsi:type="dcterms:W3CDTF">2011-09-07T11:49:58Z</dcterms:created>
  <dcterms:modified xsi:type="dcterms:W3CDTF">2026-04-18T10:49:33Z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0x010100629645EAE4B1654EA9F8AD7B6F03BF41</vt:lpwstr>
  </property>
</Properties>
</file>