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2D1CE705-4F54-4EF4-BBCA-27813D4061C3}" xr6:coauthVersionLast="47" xr6:coauthVersionMax="47" xr10:uidLastSave="{00000000-0000-0000-0000-000000000000}"/>
  <bookViews>
    <workbookView xWindow="-120" yWindow="-120" windowWidth="29040" windowHeight="15720" xr2:uid="{0A6CC1A3-D0B0-4088-9DBF-30453DBE9539}"/>
  </bookViews>
  <sheets>
    <sheet name="Koptāme" sheetId="12" r:id="rId1"/>
    <sheet name="Kopsav" sheetId="22" r:id="rId2"/>
    <sheet name="Būvlaukums" sheetId="31" r:id="rId3"/>
    <sheet name="pagrabs" sheetId="14" r:id="rId4"/>
    <sheet name="1.st BK" sheetId="15" r:id="rId5"/>
    <sheet name="2.st+jumts BK" sheetId="19" r:id="rId6"/>
    <sheet name="1.st AR" sheetId="16" r:id="rId7"/>
    <sheet name="2.st AR" sheetId="17" r:id="rId8"/>
    <sheet name="jumts" sheetId="18" r:id="rId9"/>
    <sheet name="UK" sheetId="20" r:id="rId10"/>
    <sheet name="apkure" sheetId="21" r:id="rId11"/>
    <sheet name="ventil" sheetId="27" r:id="rId12"/>
    <sheet name="EL" sheetId="24" r:id="rId13"/>
    <sheet name="zib" sheetId="26" r:id="rId14"/>
    <sheet name="UATS" sheetId="25" r:id="rId15"/>
    <sheet name="UKT" sheetId="28" r:id="rId16"/>
    <sheet name="ELT" sheetId="30" r:id="rId17"/>
    <sheet name="Tenta angars " sheetId="33" r:id="rId18"/>
    <sheet name="Sheet1" sheetId="32" r:id="rId19"/>
  </sheets>
  <definedNames>
    <definedName name="_xlnm.Print_Area" localSheetId="0">Koptāme!$A$1:$O$26</definedName>
    <definedName name="_xlnm.Print_Titles" localSheetId="6">'1.st AR'!$8:$10</definedName>
    <definedName name="_xlnm.Print_Titles" localSheetId="4">'1.st BK'!$9:$11</definedName>
    <definedName name="_xlnm.Print_Titles" localSheetId="7">'2.st AR'!$9:$11</definedName>
    <definedName name="_xlnm.Print_Titles" localSheetId="10">apkure!$9:$11</definedName>
    <definedName name="_xlnm.Print_Titles" localSheetId="12">EL!$9:$11</definedName>
    <definedName name="_xlnm.Print_Titles" localSheetId="9">UK!$9:$11</definedName>
    <definedName name="_xlnm.Print_Titles" localSheetId="15">UKT!$9:$11</definedName>
    <definedName name="_xlnm.Print_Titles" localSheetId="11">ventil!$8:$10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2" l="1"/>
  <c r="G30" i="22"/>
  <c r="F29" i="22"/>
  <c r="E30" i="22"/>
  <c r="D30" i="22"/>
  <c r="D10" i="33"/>
  <c r="C29" i="22" l="1"/>
  <c r="C28" i="22"/>
  <c r="C15" i="22"/>
  <c r="O21" i="31" l="1"/>
  <c r="G15" i="22" s="1"/>
  <c r="N21" i="31" l="1"/>
  <c r="F15" i="22" s="1"/>
  <c r="L21" i="31"/>
  <c r="H15" i="22" s="1"/>
  <c r="M21" i="31"/>
  <c r="E15" i="22" s="1"/>
  <c r="P21" i="31"/>
  <c r="D15" i="22" l="1"/>
  <c r="E22" i="28"/>
  <c r="N31" i="30"/>
  <c r="F30" i="22" s="1"/>
  <c r="L31" i="30"/>
  <c r="H29" i="22" s="1"/>
  <c r="E39" i="28"/>
  <c r="E33" i="28"/>
  <c r="E32" i="28"/>
  <c r="E37" i="28"/>
  <c r="E26" i="28"/>
  <c r="E20" i="28"/>
  <c r="E14" i="28"/>
  <c r="E13" i="28"/>
  <c r="N46" i="21"/>
  <c r="F23" i="22" s="1"/>
  <c r="L46" i="21"/>
  <c r="H23" i="22" s="1"/>
  <c r="L36" i="25"/>
  <c r="H27" i="22" s="1"/>
  <c r="L42" i="20"/>
  <c r="H22" i="22" s="1"/>
  <c r="N34" i="18"/>
  <c r="L34" i="18"/>
  <c r="M34" i="18"/>
  <c r="E209" i="17"/>
  <c r="E206" i="17"/>
  <c r="E208" i="17"/>
  <c r="E202" i="17"/>
  <c r="E204" i="17" s="1"/>
  <c r="E201" i="17"/>
  <c r="E200" i="17"/>
  <c r="E199" i="17"/>
  <c r="E198" i="17"/>
  <c r="E197" i="17"/>
  <c r="E196" i="17"/>
  <c r="E186" i="17"/>
  <c r="E181" i="17"/>
  <c r="E170" i="17"/>
  <c r="E168" i="17"/>
  <c r="E167" i="17"/>
  <c r="E163" i="17"/>
  <c r="E166" i="17" s="1"/>
  <c r="E162" i="17"/>
  <c r="E161" i="17"/>
  <c r="E160" i="17"/>
  <c r="E159" i="17"/>
  <c r="E158" i="17"/>
  <c r="E157" i="17"/>
  <c r="E148" i="17"/>
  <c r="E149" i="17"/>
  <c r="E151" i="17"/>
  <c r="E144" i="17"/>
  <c r="E143" i="17"/>
  <c r="E142" i="17"/>
  <c r="E141" i="17"/>
  <c r="E140" i="17"/>
  <c r="E139" i="17"/>
  <c r="E138" i="17"/>
  <c r="E131" i="17"/>
  <c r="E129" i="17"/>
  <c r="E125" i="17"/>
  <c r="E127" i="17" s="1"/>
  <c r="E124" i="17"/>
  <c r="E123" i="17"/>
  <c r="E122" i="17"/>
  <c r="E121" i="17"/>
  <c r="E120" i="17"/>
  <c r="E119" i="17"/>
  <c r="E110" i="17"/>
  <c r="E111" i="17" s="1"/>
  <c r="E90" i="17"/>
  <c r="E92" i="17" s="1"/>
  <c r="E70" i="17"/>
  <c r="E71" i="17"/>
  <c r="E112" i="17"/>
  <c r="E106" i="17"/>
  <c r="E105" i="17"/>
  <c r="E104" i="17"/>
  <c r="E103" i="17"/>
  <c r="E102" i="17"/>
  <c r="E101" i="17"/>
  <c r="E100" i="17"/>
  <c r="E93" i="17"/>
  <c r="E86" i="17"/>
  <c r="E89" i="17"/>
  <c r="E85" i="17"/>
  <c r="E84" i="17"/>
  <c r="E83" i="17"/>
  <c r="E82" i="17"/>
  <c r="E81" i="17"/>
  <c r="E80" i="17"/>
  <c r="E65" i="17"/>
  <c r="E60" i="17"/>
  <c r="E64" i="17"/>
  <c r="E50" i="17"/>
  <c r="E39" i="17"/>
  <c r="E28" i="17"/>
  <c r="E24" i="17"/>
  <c r="E27" i="17" s="1"/>
  <c r="E23" i="17"/>
  <c r="E22" i="17"/>
  <c r="E21" i="17"/>
  <c r="E20" i="17"/>
  <c r="E19" i="17"/>
  <c r="E18" i="17"/>
  <c r="E36" i="17"/>
  <c r="E16" i="19"/>
  <c r="E15" i="19"/>
  <c r="E14" i="19"/>
  <c r="E13" i="19" s="1"/>
  <c r="E98" i="16"/>
  <c r="A98" i="16"/>
  <c r="E210" i="17"/>
  <c r="E212" i="17"/>
  <c r="E207" i="17"/>
  <c r="E177" i="17"/>
  <c r="E179" i="17"/>
  <c r="E182" i="17"/>
  <c r="E183" i="17" s="1"/>
  <c r="E189" i="17"/>
  <c r="E191" i="17"/>
  <c r="E165" i="17"/>
  <c r="E178" i="17"/>
  <c r="E180" i="17"/>
  <c r="E176" i="17"/>
  <c r="E164" i="17"/>
  <c r="E172" i="17"/>
  <c r="E145" i="17"/>
  <c r="E150" i="17"/>
  <c r="E152" i="17"/>
  <c r="E153" i="17"/>
  <c r="E42" i="17"/>
  <c r="E132" i="17"/>
  <c r="E134" i="17"/>
  <c r="E133" i="17"/>
  <c r="E72" i="17"/>
  <c r="E113" i="17"/>
  <c r="E115" i="17"/>
  <c r="E108" i="17"/>
  <c r="E114" i="17"/>
  <c r="E87" i="17"/>
  <c r="E88" i="17"/>
  <c r="E61" i="17"/>
  <c r="E63" i="17"/>
  <c r="E66" i="17"/>
  <c r="E73" i="17"/>
  <c r="E75" i="17" s="1"/>
  <c r="E53" i="17"/>
  <c r="E62" i="17"/>
  <c r="E34" i="17"/>
  <c r="E35" i="17"/>
  <c r="E26" i="17"/>
  <c r="E25" i="17"/>
  <c r="E192" i="17"/>
  <c r="E184" i="17"/>
  <c r="E185" i="17"/>
  <c r="E76" i="17"/>
  <c r="E68" i="17"/>
  <c r="E67" i="17"/>
  <c r="E69" i="17"/>
  <c r="E253" i="16"/>
  <c r="E254" i="16"/>
  <c r="E269" i="16"/>
  <c r="E267" i="16"/>
  <c r="E266" i="16"/>
  <c r="E260" i="16"/>
  <c r="E259" i="16"/>
  <c r="E258" i="16"/>
  <c r="E257" i="16"/>
  <c r="E256" i="16"/>
  <c r="E249" i="16"/>
  <c r="E248" i="16"/>
  <c r="E247" i="16"/>
  <c r="E250" i="16"/>
  <c r="E223" i="16"/>
  <c r="E241" i="16"/>
  <c r="E239" i="16"/>
  <c r="E238" i="16"/>
  <c r="E232" i="16"/>
  <c r="E242" i="16"/>
  <c r="E231" i="16"/>
  <c r="E230" i="16"/>
  <c r="E229" i="16"/>
  <c r="E228" i="16"/>
  <c r="E217" i="16"/>
  <c r="E216" i="16"/>
  <c r="E210" i="16"/>
  <c r="E201" i="16"/>
  <c r="E219" i="16"/>
  <c r="E209" i="16"/>
  <c r="E208" i="16"/>
  <c r="E207" i="16"/>
  <c r="E206" i="16"/>
  <c r="E194" i="16"/>
  <c r="E193" i="16"/>
  <c r="E192" i="16"/>
  <c r="E191" i="16"/>
  <c r="E171" i="16"/>
  <c r="E170" i="16"/>
  <c r="E186" i="16"/>
  <c r="E184" i="16"/>
  <c r="E183" i="16"/>
  <c r="E177" i="16"/>
  <c r="E176" i="16"/>
  <c r="E175" i="16"/>
  <c r="E174" i="16"/>
  <c r="E173" i="16"/>
  <c r="E164" i="16"/>
  <c r="E162" i="16"/>
  <c r="E161" i="16"/>
  <c r="E151" i="16"/>
  <c r="E150" i="16"/>
  <c r="E126" i="16"/>
  <c r="E149" i="16"/>
  <c r="E156" i="16"/>
  <c r="E102" i="16"/>
  <c r="E99" i="16"/>
  <c r="E97" i="16"/>
  <c r="E233" i="16"/>
  <c r="E234" i="16"/>
  <c r="E235" i="16"/>
  <c r="E224" i="16"/>
  <c r="E213" i="16"/>
  <c r="E218" i="16"/>
  <c r="E158" i="16"/>
  <c r="E165" i="16"/>
  <c r="E163" i="16"/>
  <c r="E142" i="16"/>
  <c r="E141" i="16"/>
  <c r="E135" i="16"/>
  <c r="E138" i="16" s="1"/>
  <c r="E129" i="16"/>
  <c r="E128" i="16"/>
  <c r="E127" i="16"/>
  <c r="E144" i="16"/>
  <c r="E134" i="16"/>
  <c r="E133" i="16"/>
  <c r="E132" i="16"/>
  <c r="E131" i="16"/>
  <c r="E119" i="16"/>
  <c r="E108" i="16"/>
  <c r="E117" i="16"/>
  <c r="E75" i="16"/>
  <c r="E89" i="16"/>
  <c r="E91" i="16" s="1"/>
  <c r="E77" i="16"/>
  <c r="E93" i="16"/>
  <c r="E78" i="16"/>
  <c r="E85" i="16"/>
  <c r="E87" i="16"/>
  <c r="E62" i="16"/>
  <c r="E67" i="16"/>
  <c r="E63" i="16"/>
  <c r="E46" i="16"/>
  <c r="E17" i="14"/>
  <c r="E19" i="14"/>
  <c r="E23" i="14"/>
  <c r="E24" i="14"/>
  <c r="E25" i="14"/>
  <c r="E26" i="14"/>
  <c r="E42" i="16"/>
  <c r="E41" i="16"/>
  <c r="E40" i="16"/>
  <c r="E35" i="16"/>
  <c r="E30" i="16"/>
  <c r="E29" i="16"/>
  <c r="E31" i="16"/>
  <c r="E28" i="16"/>
  <c r="E17" i="16"/>
  <c r="E33" i="16"/>
  <c r="E26" i="16"/>
  <c r="E20" i="16"/>
  <c r="E21" i="16" s="1"/>
  <c r="E12" i="16"/>
  <c r="E14" i="16" s="1"/>
  <c r="E105" i="16"/>
  <c r="E106" i="16" s="1"/>
  <c r="E104" i="16"/>
  <c r="E107" i="16"/>
  <c r="E92" i="16"/>
  <c r="E90" i="16"/>
  <c r="E44" i="15"/>
  <c r="E42" i="15"/>
  <c r="E41" i="15"/>
  <c r="E39" i="15"/>
  <c r="E38" i="15"/>
  <c r="E36" i="15"/>
  <c r="E35" i="15"/>
  <c r="E27" i="15"/>
  <c r="E23" i="15"/>
  <c r="E20" i="15"/>
  <c r="E17" i="15"/>
  <c r="E22" i="15"/>
  <c r="E19" i="15"/>
  <c r="E16" i="15"/>
  <c r="E14" i="14"/>
  <c r="E12" i="14"/>
  <c r="E13" i="14"/>
  <c r="E50" i="16"/>
  <c r="E36" i="16"/>
  <c r="E23" i="16"/>
  <c r="E48" i="16"/>
  <c r="E143" i="16"/>
  <c r="E145" i="16"/>
  <c r="E136" i="16"/>
  <c r="E49" i="16"/>
  <c r="E22" i="16"/>
  <c r="E109" i="16"/>
  <c r="E110" i="16" s="1"/>
  <c r="E66" i="16"/>
  <c r="E65" i="16"/>
  <c r="E51" i="16"/>
  <c r="E47" i="16"/>
  <c r="E60" i="16"/>
  <c r="E139" i="16"/>
  <c r="E113" i="16"/>
  <c r="E57" i="16"/>
  <c r="E54" i="16"/>
  <c r="E52" i="16"/>
  <c r="E58" i="16"/>
  <c r="E64" i="16"/>
  <c r="E214" i="16"/>
  <c r="E121" i="16"/>
  <c r="E122" i="16"/>
  <c r="E120" i="16"/>
  <c r="E159" i="16"/>
  <c r="E68" i="16"/>
  <c r="E237" i="16"/>
  <c r="E268" i="16"/>
  <c r="E261" i="16"/>
  <c r="E263" i="16"/>
  <c r="E270" i="16"/>
  <c r="E81" i="16"/>
  <c r="E84" i="16"/>
  <c r="E88" i="16"/>
  <c r="E185" i="16"/>
  <c r="E24" i="15"/>
  <c r="E55" i="17"/>
  <c r="E56" i="17"/>
  <c r="E54" i="17"/>
  <c r="E27" i="14"/>
  <c r="E95" i="17"/>
  <c r="E96" i="17"/>
  <c r="E202" i="16"/>
  <c r="E203" i="16" s="1"/>
  <c r="E29" i="17"/>
  <c r="E130" i="17"/>
  <c r="E45" i="17"/>
  <c r="E40" i="17"/>
  <c r="E46" i="17"/>
  <c r="E44" i="17"/>
  <c r="E240" i="16"/>
  <c r="E43" i="17"/>
  <c r="E41" i="17"/>
  <c r="E94" i="17"/>
  <c r="E154" i="17"/>
  <c r="E220" i="16"/>
  <c r="E74" i="17"/>
  <c r="E211" i="17"/>
  <c r="E128" i="17"/>
  <c r="E109" i="17"/>
  <c r="E107" i="17"/>
  <c r="N42" i="20"/>
  <c r="F22" i="22" s="1"/>
  <c r="E126" i="17"/>
  <c r="E188" i="17"/>
  <c r="E187" i="17"/>
  <c r="E147" i="17"/>
  <c r="E203" i="17"/>
  <c r="E205" i="17"/>
  <c r="E190" i="17"/>
  <c r="L28" i="26"/>
  <c r="H26" i="22"/>
  <c r="E30" i="17"/>
  <c r="E31" i="17"/>
  <c r="E32" i="17"/>
  <c r="E29" i="14"/>
  <c r="E28" i="14"/>
  <c r="E204" i="16"/>
  <c r="E48" i="17"/>
  <c r="E34" i="28" l="1"/>
  <c r="E36" i="28" s="1"/>
  <c r="E47" i="28"/>
  <c r="E45" i="28"/>
  <c r="E16" i="28"/>
  <c r="E18" i="28"/>
  <c r="E17" i="28"/>
  <c r="M69" i="27"/>
  <c r="E24" i="22" s="1"/>
  <c r="E51" i="17"/>
  <c r="E52" i="17"/>
  <c r="O34" i="18"/>
  <c r="G21" i="22" s="1"/>
  <c r="E160" i="16"/>
  <c r="E157" i="16"/>
  <c r="E236" i="16"/>
  <c r="E225" i="16"/>
  <c r="E226" i="16"/>
  <c r="E86" i="16"/>
  <c r="E79" i="16"/>
  <c r="E137" i="16"/>
  <c r="E59" i="16"/>
  <c r="E61" i="16"/>
  <c r="E55" i="16"/>
  <c r="E53" i="16"/>
  <c r="E69" i="16"/>
  <c r="E70" i="16"/>
  <c r="E264" i="16"/>
  <c r="N30" i="14"/>
  <c r="F16" i="22" s="1"/>
  <c r="E49" i="17"/>
  <c r="E47" i="17"/>
  <c r="L19" i="19"/>
  <c r="H18" i="22" s="1"/>
  <c r="E94" i="16"/>
  <c r="L30" i="14"/>
  <c r="H16" i="22" s="1"/>
  <c r="E82" i="16"/>
  <c r="E15" i="16"/>
  <c r="E140" i="16"/>
  <c r="E262" i="16"/>
  <c r="E45" i="15"/>
  <c r="E13" i="16"/>
  <c r="O19" i="19"/>
  <c r="G18" i="22" s="1"/>
  <c r="E187" i="16"/>
  <c r="E195" i="16"/>
  <c r="N36" i="25"/>
  <c r="F27" i="22" s="1"/>
  <c r="E169" i="17"/>
  <c r="E178" i="16"/>
  <c r="E180" i="16"/>
  <c r="E173" i="17"/>
  <c r="E171" i="17"/>
  <c r="L62" i="24"/>
  <c r="H25" i="22" s="1"/>
  <c r="E146" i="17"/>
  <c r="E211" i="16"/>
  <c r="E91" i="17"/>
  <c r="N62" i="24"/>
  <c r="F25" i="22" s="1"/>
  <c r="N28" i="26"/>
  <c r="F26" i="22" s="1"/>
  <c r="N69" i="27"/>
  <c r="F24" i="22" s="1"/>
  <c r="L69" i="27"/>
  <c r="H24" i="22" s="1"/>
  <c r="E28" i="28"/>
  <c r="E30" i="28" s="1"/>
  <c r="E152" i="16"/>
  <c r="E265" i="16"/>
  <c r="E118" i="16"/>
  <c r="E111" i="16"/>
  <c r="E115" i="16"/>
  <c r="E114" i="16"/>
  <c r="E116" i="16"/>
  <c r="E56" i="16"/>
  <c r="E37" i="16"/>
  <c r="E34" i="16"/>
  <c r="E18" i="16"/>
  <c r="H21" i="22"/>
  <c r="F21" i="22"/>
  <c r="E21" i="22"/>
  <c r="O31" i="30" l="1"/>
  <c r="G29" i="22" s="1"/>
  <c r="E35" i="28"/>
  <c r="M62" i="24"/>
  <c r="E25" i="22" s="1"/>
  <c r="E83" i="16"/>
  <c r="E80" i="16"/>
  <c r="E96" i="16"/>
  <c r="E95" i="16"/>
  <c r="N19" i="19"/>
  <c r="F18" i="22" s="1"/>
  <c r="M28" i="26"/>
  <c r="E26" i="22" s="1"/>
  <c r="E196" i="16"/>
  <c r="E197" i="16"/>
  <c r="M19" i="19"/>
  <c r="E18" i="22" s="1"/>
  <c r="P30" i="14"/>
  <c r="M30" i="14"/>
  <c r="E16" i="22" s="1"/>
  <c r="E212" i="16"/>
  <c r="E215" i="16"/>
  <c r="L214" i="17"/>
  <c r="H20" i="22" s="1"/>
  <c r="M36" i="25"/>
  <c r="E27" i="22" s="1"/>
  <c r="O28" i="26"/>
  <c r="G26" i="22" s="1"/>
  <c r="P31" i="30"/>
  <c r="M31" i="30"/>
  <c r="E29" i="22" s="1"/>
  <c r="M42" i="20"/>
  <c r="E22" i="22" s="1"/>
  <c r="O214" i="17"/>
  <c r="G20" i="22" s="1"/>
  <c r="E181" i="16"/>
  <c r="M46" i="21"/>
  <c r="E23" i="22" s="1"/>
  <c r="O30" i="14"/>
  <c r="G16" i="22" s="1"/>
  <c r="E182" i="16"/>
  <c r="E179" i="16"/>
  <c r="N214" i="17"/>
  <c r="F20" i="22" s="1"/>
  <c r="O46" i="21"/>
  <c r="G23" i="22" s="1"/>
  <c r="E29" i="28"/>
  <c r="O42" i="20"/>
  <c r="G22" i="22" s="1"/>
  <c r="L46" i="15"/>
  <c r="H17" i="22" s="1"/>
  <c r="E154" i="16"/>
  <c r="E153" i="16"/>
  <c r="E112" i="16"/>
  <c r="P34" i="18"/>
  <c r="D21" i="22"/>
  <c r="O36" i="25" l="1"/>
  <c r="G27" i="22" s="1"/>
  <c r="P36" i="25"/>
  <c r="D27" i="22" s="1"/>
  <c r="P42" i="20"/>
  <c r="D22" i="22"/>
  <c r="O46" i="15"/>
  <c r="G17" i="22" s="1"/>
  <c r="P46" i="15"/>
  <c r="O7" i="15" s="1"/>
  <c r="P19" i="19"/>
  <c r="D18" i="22"/>
  <c r="M214" i="17"/>
  <c r="E20" i="22" s="1"/>
  <c r="P62" i="24"/>
  <c r="D16" i="22"/>
  <c r="P46" i="21"/>
  <c r="P214" i="17"/>
  <c r="N46" i="15"/>
  <c r="F17" i="22" s="1"/>
  <c r="O62" i="24"/>
  <c r="G25" i="22" s="1"/>
  <c r="D29" i="22"/>
  <c r="P28" i="26"/>
  <c r="N48" i="28"/>
  <c r="F28" i="22" s="1"/>
  <c r="O48" i="28"/>
  <c r="G28" i="22" s="1"/>
  <c r="M46" i="15"/>
  <c r="E17" i="22" s="1"/>
  <c r="O69" i="27"/>
  <c r="G24" i="22" s="1"/>
  <c r="P69" i="27"/>
  <c r="D24" i="22" s="1"/>
  <c r="L48" i="28" l="1"/>
  <c r="H28" i="22" s="1"/>
  <c r="M273" i="16"/>
  <c r="E19" i="22" s="1"/>
  <c r="N273" i="16"/>
  <c r="F19" i="22" s="1"/>
  <c r="F31" i="22" s="1"/>
  <c r="O273" i="16"/>
  <c r="G19" i="22" s="1"/>
  <c r="G31" i="22" s="1"/>
  <c r="D23" i="22"/>
  <c r="D26" i="22"/>
  <c r="P48" i="28"/>
  <c r="M48" i="28"/>
  <c r="E28" i="22" s="1"/>
  <c r="D20" i="22"/>
  <c r="D17" i="22"/>
  <c r="D25" i="22"/>
  <c r="L273" i="16"/>
  <c r="H19" i="22" s="1"/>
  <c r="E31" i="22" l="1"/>
  <c r="H31" i="22"/>
  <c r="D28" i="22"/>
  <c r="P273" i="16"/>
  <c r="D19" i="22" l="1"/>
  <c r="D31" i="22" s="1"/>
  <c r="D34" i="22" l="1"/>
  <c r="D32" i="22"/>
  <c r="D33" i="22" s="1"/>
  <c r="D35" i="22" l="1"/>
</calcChain>
</file>

<file path=xl/sharedStrings.xml><?xml version="1.0" encoding="utf-8"?>
<sst xmlns="http://schemas.openxmlformats.org/spreadsheetml/2006/main" count="2717" uniqueCount="547">
  <si>
    <t>Lokālā tāme Nr.1</t>
  </si>
  <si>
    <t>Nr.p.k.</t>
  </si>
  <si>
    <t>Kods</t>
  </si>
  <si>
    <t>Būvdarbu nosaukums</t>
  </si>
  <si>
    <t>Mērvienība</t>
  </si>
  <si>
    <t>Daudzums</t>
  </si>
  <si>
    <t>03-00000</t>
  </si>
  <si>
    <t>m³</t>
  </si>
  <si>
    <t>02-00000</t>
  </si>
  <si>
    <t>m²</t>
  </si>
  <si>
    <t>Lokālā tāme Nr.2</t>
  </si>
  <si>
    <t>Lokālā tāme Nr.3</t>
  </si>
  <si>
    <t>Lokālā tāme Nr.4</t>
  </si>
  <si>
    <t>Vienības izmaksas</t>
  </si>
  <si>
    <t>Kopā uz visu apjomu</t>
  </si>
  <si>
    <t>laika norma (c/h)</t>
  </si>
  <si>
    <t>darba samaksas likme (euro/h)</t>
  </si>
  <si>
    <t>darbietilpība (c/h)</t>
  </si>
  <si>
    <t>Tāmes izmaksas Euro:</t>
  </si>
  <si>
    <t>Latvijas būvnormatīvam LBN 501-17</t>
  </si>
  <si>
    <t>"Būvizmaksu noteikšanas kārtība"</t>
  </si>
  <si>
    <t xml:space="preserve">Sastādīja </t>
  </si>
  <si>
    <t>(paraksts, tā atšifrējums, datums)</t>
  </si>
  <si>
    <t>Sertifikāta Nr.</t>
  </si>
  <si>
    <t>Kopsavilkuma aprēķins pa darbu veidiem</t>
  </si>
  <si>
    <t>Par kopējo summu, EUR</t>
  </si>
  <si>
    <t>Kopēja darbietilpība, c/h</t>
  </si>
  <si>
    <t>Kods, tāmes Nr.</t>
  </si>
  <si>
    <t>Būvdarbu veids vai konstruktīvā elementa nosaukums</t>
  </si>
  <si>
    <t>Tāmes izmaksas (euro)</t>
  </si>
  <si>
    <t>Tai skaitā</t>
  </si>
  <si>
    <t>Darbietilpība c/h</t>
  </si>
  <si>
    <t>darba alga (euro)</t>
  </si>
  <si>
    <t>būvizstrādājumi (euro)</t>
  </si>
  <si>
    <t>mehānismi (euro)</t>
  </si>
  <si>
    <t>Kopā</t>
  </si>
  <si>
    <t>(paraksts, atšifrējums, datums)</t>
  </si>
  <si>
    <t>Apstiprinu</t>
  </si>
  <si>
    <t>(pasūtītāja paraksts un tā atšifrējums)</t>
  </si>
  <si>
    <t>Būvniecības koptāme</t>
  </si>
  <si>
    <t>Objekta nosaukums</t>
  </si>
  <si>
    <r>
      <t xml:space="preserve">Objekta izmaksas </t>
    </r>
    <r>
      <rPr>
        <b/>
        <i/>
        <sz val="10"/>
        <rFont val="Times New Roman"/>
        <family val="1"/>
        <charset val="186"/>
      </rPr>
      <t>(euro)</t>
    </r>
  </si>
  <si>
    <t>Kopā:</t>
  </si>
  <si>
    <t>PVN 21%</t>
  </si>
  <si>
    <t>gb</t>
  </si>
  <si>
    <t xml:space="preserve">Virsizdevumi  </t>
  </si>
  <si>
    <t xml:space="preserve">t.sk.darba aizsardzībai </t>
  </si>
  <si>
    <t xml:space="preserve">Peļņa </t>
  </si>
  <si>
    <t>Kopā bez PVN</t>
  </si>
  <si>
    <t>Būvizstrādājumi euro</t>
  </si>
  <si>
    <t>kopā euro</t>
  </si>
  <si>
    <t>summa euro</t>
  </si>
  <si>
    <t>Darba alga euro</t>
  </si>
  <si>
    <t>Mehānismi euro</t>
  </si>
  <si>
    <t>Lokālā tāme Nr.5</t>
  </si>
  <si>
    <t>Lokālā tāme Nr.6</t>
  </si>
  <si>
    <t>Lokālā tāme Nr.7</t>
  </si>
  <si>
    <t>Lokālā tāme Nr.8</t>
  </si>
  <si>
    <t>Lokālā tāme Nr.9</t>
  </si>
  <si>
    <t>Lokālā tāme Nr.10</t>
  </si>
  <si>
    <t xml:space="preserve">Pasūtītāja rezerve neparedzēto darbu veikšanai </t>
  </si>
  <si>
    <t xml:space="preserve">                   Kopā ar PVN</t>
  </si>
  <si>
    <t>Objekta adrese: Vites iela 4, Mālpils, Siguldas novads</t>
  </si>
  <si>
    <t>m</t>
  </si>
  <si>
    <t>Attīrīt metāla konstrukciju un krāsot ar pretkorozijas krāsu</t>
  </si>
  <si>
    <t>07-00000</t>
  </si>
  <si>
    <r>
      <t>m</t>
    </r>
    <r>
      <rPr>
        <vertAlign val="superscript"/>
        <sz val="10"/>
        <color indexed="8"/>
        <rFont val="Times New Roman"/>
        <family val="1"/>
        <charset val="204"/>
      </rPr>
      <t>3</t>
    </r>
  </si>
  <si>
    <t>09-00000</t>
  </si>
  <si>
    <t>Pagraba stāva pārbūve</t>
  </si>
  <si>
    <t>Starpsienu demontāza</t>
  </si>
  <si>
    <t>Būvgružu savākšana, iekraušana,  izvešana, utilizācija</t>
  </si>
  <si>
    <t>08-00000</t>
  </si>
  <si>
    <t>Durvju ar kārbu ar būvkonstrukciju ugunsizturības klasi EI-30CS montāža</t>
  </si>
  <si>
    <t>kpl</t>
  </si>
  <si>
    <t>Izraktās liekās grunts transportēšana uz atbērtni</t>
  </si>
  <si>
    <t>Veidņu izgatavošana, montāža, blīvēšana pamatu pēdai</t>
  </si>
  <si>
    <t xml:space="preserve">Stiegrojuma montāža </t>
  </si>
  <si>
    <t>Pamatu pēdas betonēšana betons  C25/30</t>
  </si>
  <si>
    <t>Veidņu izgatavošana, montāža, blīvēšana pamatiem</t>
  </si>
  <si>
    <t>Pamatu piebēršana ar smilti</t>
  </si>
  <si>
    <t>Grunts rakšana pamatiem ar rokām</t>
  </si>
  <si>
    <t>Grīdas demontāža</t>
  </si>
  <si>
    <t>Smilts pamatnes ierīkošana zem pamatiek hmin=0,2m (Grunti noblīvēt līdz dabīgā blīvuma pakāpei)</t>
  </si>
  <si>
    <t>Šķembu slāņa iestrāde zem pamatu pēdām 150 mm biezumā</t>
  </si>
  <si>
    <t>05-00000</t>
  </si>
  <si>
    <t>Ģipškartona starpsienas 150mm bez pildījuma montāža. Ārējās kārtas GKBI un GKF.</t>
  </si>
  <si>
    <t>Pamatu betonēšana betons  C25/30</t>
  </si>
  <si>
    <t xml:space="preserve">Stiegrojuma un ieliekamo detaļu montāža </t>
  </si>
  <si>
    <t>Terāda kolonnas 100*100*5 montāža piemetinot pie eošās pandusa metāla konstrukcijas</t>
  </si>
  <si>
    <t>Pārsedžu montāža</t>
  </si>
  <si>
    <t xml:space="preserve">Pārsedzes MS-1 UPN 200 montāža </t>
  </si>
  <si>
    <t>Durvju ailas apmetums</t>
  </si>
  <si>
    <r>
      <t>m</t>
    </r>
    <r>
      <rPr>
        <vertAlign val="superscript"/>
        <sz val="10"/>
        <rFont val="Times New Roman"/>
        <family val="1"/>
        <charset val="204"/>
      </rPr>
      <t>3</t>
    </r>
  </si>
  <si>
    <t xml:space="preserve">Pārsedzes MS-2 UPN 200 montāža </t>
  </si>
  <si>
    <t xml:space="preserve">Pārsedzes MS-3 UPN 200 montāža </t>
  </si>
  <si>
    <t xml:space="preserve">Durvju ailas izkalšana  </t>
  </si>
  <si>
    <t xml:space="preserve">Durvju ailas izkalšana </t>
  </si>
  <si>
    <t>Tiešās izmaksas kopā, t.sk. darba devēja sociālais nodoklis (23,59%)</t>
  </si>
  <si>
    <t>Kolonnas telpā Nr.4 un10</t>
  </si>
  <si>
    <t>Pāregums telpā Nr.4 un10</t>
  </si>
  <si>
    <t>Pārseguma demontāža</t>
  </si>
  <si>
    <t>Pamati telpā Nr.4 un10</t>
  </si>
  <si>
    <t xml:space="preserve">Imprignētu pasiju 150x250 montāža </t>
  </si>
  <si>
    <t xml:space="preserve">Imprignētu pasiju 100x200 montāža </t>
  </si>
  <si>
    <t xml:space="preserve">Imprignētu siju  50x200 montāža </t>
  </si>
  <si>
    <t>10-00000</t>
  </si>
  <si>
    <t>Pāregums telpā Nr.5 un 8</t>
  </si>
  <si>
    <t>1.stāva BK darbi</t>
  </si>
  <si>
    <t>1.stāva AR darbi</t>
  </si>
  <si>
    <t>Telpa Nr.1</t>
  </si>
  <si>
    <t>Sienas gruntēšana, špaktelēšana, slīpēšana</t>
  </si>
  <si>
    <t>Sienas gruntēšana</t>
  </si>
  <si>
    <t xml:space="preserve">Sienas virsmas attīrīšana </t>
  </si>
  <si>
    <t>Telpa Nr.2</t>
  </si>
  <si>
    <t>Telpa Nr.3</t>
  </si>
  <si>
    <t xml:space="preserve">Sienas apšūšana ar sendviča paneli 150mm </t>
  </si>
  <si>
    <t>Telpa Nr.4 un 10</t>
  </si>
  <si>
    <t>Esošās grunts blietēšana</t>
  </si>
  <si>
    <t>Šķembu slāņa iestrāde blietējot 100 mm biezumā</t>
  </si>
  <si>
    <t>Smilts pamatnes ierīkošana blietējot 50 mm biezumā</t>
  </si>
  <si>
    <t>Hidroizolācijas ierīkošana</t>
  </si>
  <si>
    <t>Plastmasas loga montāža</t>
  </si>
  <si>
    <t>Ailas apmetums</t>
  </si>
  <si>
    <t xml:space="preserve">Ailas apdare </t>
  </si>
  <si>
    <t>PAROC UNS 37 izolācijas 200 mm montāža</t>
  </si>
  <si>
    <t>Pergamīna montāža</t>
  </si>
  <si>
    <t>Dēļu klājs 19 mm (melnie griesti) montāža</t>
  </si>
  <si>
    <t xml:space="preserve">Griestu apšūšana ar sendviča paneli 100mm </t>
  </si>
  <si>
    <t>Ekstrudētā putuplasta ierīkošana 2x100</t>
  </si>
  <si>
    <t xml:space="preserve">Stiegrojuma sieta 12x200x200 montāža </t>
  </si>
  <si>
    <t>Epoksīda seguma uzklāšana grīdai</t>
  </si>
  <si>
    <t>Grīdas 200mm C25/30 CX2  betonēšana</t>
  </si>
  <si>
    <t xml:space="preserve">Griestu virsmas attīrīšana </t>
  </si>
  <si>
    <t>Griestu gruntēšana, špaktelēšana, slīpēšana</t>
  </si>
  <si>
    <t>Griestu gruntēšana</t>
  </si>
  <si>
    <t>Griestu 2x krāsošana</t>
  </si>
  <si>
    <t>Sienas 2x krāsošana</t>
  </si>
  <si>
    <t>Skursteņa demontāza</t>
  </si>
  <si>
    <t>06-00000</t>
  </si>
  <si>
    <t>Skursteņa Schiedel Rondo Plus 20 montāža</t>
  </si>
  <si>
    <t>Paceļamo vārtu montāža</t>
  </si>
  <si>
    <t>Imprignēta latojuma 40x40 montāža</t>
  </si>
  <si>
    <t>Griestu apšūšana ar ģipškartonu</t>
  </si>
  <si>
    <t xml:space="preserve">Ģipškartona starpsienas 150mm bez pildījuma montāža. </t>
  </si>
  <si>
    <t>Ailas aizmūrēšana</t>
  </si>
  <si>
    <t>PAROC UNS 37 izolācijas 200 mm montāža griestos</t>
  </si>
  <si>
    <t>Telpa Nr.5</t>
  </si>
  <si>
    <t>Imprignēta latojuma 100x25(h) s.300 montāža</t>
  </si>
  <si>
    <t xml:space="preserve">Griestu apšūšana ar sendviča paneli 160mm </t>
  </si>
  <si>
    <t>Telpa Nr.6</t>
  </si>
  <si>
    <t>Telpa Nr.7</t>
  </si>
  <si>
    <t>Metāla kāpņu montāža</t>
  </si>
  <si>
    <t>Plastmasas evakuācijas durvju montāža</t>
  </si>
  <si>
    <t xml:space="preserve">Sienas virsmas attīrīšana līdz +3,800 </t>
  </si>
  <si>
    <t>m3</t>
  </si>
  <si>
    <t xml:space="preserve">Sienu virs +3,800 aizmūrēšana no keramzītbetona bloks </t>
  </si>
  <si>
    <t>Telpa Nr.8</t>
  </si>
  <si>
    <t>Telpa Nr.9</t>
  </si>
  <si>
    <t>Telpa Nr.11</t>
  </si>
  <si>
    <t>Telpa Nr.12</t>
  </si>
  <si>
    <t>Telpa Nr.13</t>
  </si>
  <si>
    <t>Telpa Nr.14</t>
  </si>
  <si>
    <t>Telpa Nr.15</t>
  </si>
  <si>
    <t>2.stāva AR darbi</t>
  </si>
  <si>
    <t>2.stāva, jumta BK darbi</t>
  </si>
  <si>
    <t>Demontēt jumtu nesošās koka konstrukcijas</t>
  </si>
  <si>
    <t xml:space="preserve">Imprignētu mūrlatu 200x250 montāža </t>
  </si>
  <si>
    <t xml:space="preserve">Imprignētu mūrlatu 200x100 montāža </t>
  </si>
  <si>
    <t xml:space="preserve">Jumta krēsla  montāža </t>
  </si>
  <si>
    <t>Izlīdzinošās kārtas betonējums , ieskaitot stiegrojuma ierīkošanu, veidņu montāžu un demontāžu</t>
  </si>
  <si>
    <t>Hidroizolācijas 2 kārtās izveidošana virs izlīdzinošā betonējuma</t>
  </si>
  <si>
    <t>13-00000</t>
  </si>
  <si>
    <r>
      <t>m</t>
    </r>
    <r>
      <rPr>
        <vertAlign val="superscript"/>
        <sz val="10"/>
        <rFont val="Times New Roman"/>
        <family val="1"/>
        <charset val="204"/>
      </rPr>
      <t>2</t>
    </r>
  </si>
  <si>
    <t>Imprignētu spāru 50x200 montāža</t>
  </si>
  <si>
    <t xml:space="preserve">Starpsienas imprignēta karkasa 50x250 montāža </t>
  </si>
  <si>
    <t>Ģipškartona montāža 2 kārtas GKB, 2 kārtas GKBI</t>
  </si>
  <si>
    <t>Starpsienas siltināšana ar akmens vati 100x100x50</t>
  </si>
  <si>
    <t>Ģipškartona starpsienas montāža</t>
  </si>
  <si>
    <t>Tvaika izolācijas TYVEK AirGuard SD5 montāža</t>
  </si>
  <si>
    <t>Latojums šķērsvirzienā sparēm 50x50mm s.600</t>
  </si>
  <si>
    <t>PAROC UNS 37 siltumizolācija 50 mm montāža</t>
  </si>
  <si>
    <t>Difūzijas membrāna TYVEK Supro Plus montāža</t>
  </si>
  <si>
    <t>Grīdas OSB 22mm montāža</t>
  </si>
  <si>
    <t>Latojums šķērsvirzienā sparēm 50x50mm s.600 montāža</t>
  </si>
  <si>
    <t>Lamināta apakšklaja montāža</t>
  </si>
  <si>
    <t>Lamināta montāža</t>
  </si>
  <si>
    <t>Sienu siltumizolācijas 200 mm montāža</t>
  </si>
  <si>
    <t>Ģipškartona montāža 2 kārtās</t>
  </si>
  <si>
    <t>Grīdu imprignēta latojuma 100x40(h) s.300 montāža</t>
  </si>
  <si>
    <t>Durvju montāža</t>
  </si>
  <si>
    <t>Grīdas hidroizolācija Knauf</t>
  </si>
  <si>
    <t>Grīdas flīzēšana</t>
  </si>
  <si>
    <t>Telpa Nr.4</t>
  </si>
  <si>
    <t>Sienas flīzēšana</t>
  </si>
  <si>
    <t>Sienas hidroizolācija Knauf</t>
  </si>
  <si>
    <t>Telpa Nr.10</t>
  </si>
  <si>
    <t>UK tīklu montāža</t>
  </si>
  <si>
    <t>14-00000</t>
  </si>
  <si>
    <t>Ūdensvads U1 un T3</t>
  </si>
  <si>
    <t>Uponor daudzslāņu caurules OD16x2 montāža (tai skaitā veidgabali)</t>
  </si>
  <si>
    <t>Uponor daudzslāņu caurules OD20x2,25 montāža (tai skaitā veidgabali)</t>
  </si>
  <si>
    <t>Uponor daudzslāņu caurules OD25x2,5 montāža (tai skaitā veidgabali)</t>
  </si>
  <si>
    <t>Uponor daudzslāņu caurules OD32x3 montāža (tai skaitā veidgabali)</t>
  </si>
  <si>
    <t>Izolācijas apvalkcaurules K-Flex montāža caurulei OD16</t>
  </si>
  <si>
    <t>Izolācijas apvalkcaurules K-Flex montāža caurulei OD20</t>
  </si>
  <si>
    <t>Izolācijas apvalkcaurules K-Flex montāža caurulei OD25</t>
  </si>
  <si>
    <t>Izolācijas apvalkcaurules K-Flex montāža caurulei OD32</t>
  </si>
  <si>
    <t>Leņķa ventilis hromēts 1/2" montāža</t>
  </si>
  <si>
    <t>Noslēgarmatūras DN15 montāža</t>
  </si>
  <si>
    <t>Noslēgarmatūras DN20 montāža</t>
  </si>
  <si>
    <t>Noslēgarmatūras DN25 montāža</t>
  </si>
  <si>
    <t>Siltumizolācijas montāža caurulei OD16</t>
  </si>
  <si>
    <t>Siltumizolācijas montāža caurulei OD20</t>
  </si>
  <si>
    <t>Dušas maisītāja komplektā ar dušas galvu montāža</t>
  </si>
  <si>
    <t>Saimniecības izlietnes jaucējkrāna montāža</t>
  </si>
  <si>
    <t>Jaucējkrāna montāža</t>
  </si>
  <si>
    <t>Lodveida ventilis 1/2'' ar uzgali montāža</t>
  </si>
  <si>
    <t>Sadzīves kanalizācija K1</t>
  </si>
  <si>
    <t>Uponor caurules OD50 PP SN4 montāža (tai skaitā veidgabali)</t>
  </si>
  <si>
    <t>Uponor caurules OD110 PP SN8 montāža (tai skaitā veidgabali)</t>
  </si>
  <si>
    <t>Revīzijas OD110 montāža</t>
  </si>
  <si>
    <t>Keramiskā klozetpoda montāža</t>
  </si>
  <si>
    <t>Roku mazgātnes, komplektā ar pievienojuma veidgabaliem un sifonu montāža</t>
  </si>
  <si>
    <t>Siltumizolācijas montāža caurulei OD25</t>
  </si>
  <si>
    <t>Trapa OD110 montāža</t>
  </si>
  <si>
    <t>Nerūsējošā tērauda saimniecības izlietnes komplektā ar pievienojuma veidgabaliem un sifonu montāža</t>
  </si>
  <si>
    <t>Dušas paliktņa montāža</t>
  </si>
  <si>
    <t>Gaisa vārstu Dn110 montāža</t>
  </si>
  <si>
    <t>Jumta seguma maiņa</t>
  </si>
  <si>
    <t>EL tīklu montāža</t>
  </si>
  <si>
    <t>UATS tīklu montāža</t>
  </si>
  <si>
    <t>EL</t>
  </si>
  <si>
    <t>SADALNES</t>
  </si>
  <si>
    <t>Sadalne ASS-1</t>
  </si>
  <si>
    <t>Sadalne ASS-2</t>
  </si>
  <si>
    <t>Zemējuma komplekts sadalnei</t>
  </si>
  <si>
    <t>Palīgmateriāli, neparedzētie izdevumi</t>
  </si>
  <si>
    <t>KABEĻI</t>
  </si>
  <si>
    <t>Kabelis NYM-J 5x10</t>
  </si>
  <si>
    <t>Kabelis NYM-J 3x1,5</t>
  </si>
  <si>
    <t xml:space="preserve">m </t>
  </si>
  <si>
    <t>Kabelis NYM-J 3x2,5</t>
  </si>
  <si>
    <t>Kabelis NYM-J 5x1,5</t>
  </si>
  <si>
    <t>Kabelis NYM-J 5x2,5</t>
  </si>
  <si>
    <t>Kabelis H05VV-F 3x0.75mm² lokans balts iekārtiem gaismekļiem</t>
  </si>
  <si>
    <t>Kabeļu gala apdare SBO5.1   5x4-50mm²</t>
  </si>
  <si>
    <t>Nnozarkārbas IP65</t>
  </si>
  <si>
    <t>WAGO savienojumi</t>
  </si>
  <si>
    <t>Gofrētas kabeļu aizsargcaurules D=16-32mm ar stiprinājumiem UV noturīgas</t>
  </si>
  <si>
    <t>Gaismas rene apgaismojuma un labeļu montāžai ar stiprinājumiem u savienojumiem</t>
  </si>
  <si>
    <t>ROZETES</t>
  </si>
  <si>
    <t xml:space="preserve">Rozešu bloks 1x400V+3x230 16A  IP44 (FLEX 10-S4 IP66/67 Tukšs korpuss 1gab , Atloka adapteris 50x50 3gab, Kontaktligzda (DIN 49440) ar zemējuma kontaktu (50x50) 16A 230V  3gab, Kontaktligzda paneļu 5x16A (3P+N+PE) 6h IP44/54 80x97mm 1gab, Slēdzis  3P32A  </t>
  </si>
  <si>
    <t xml:space="preserve">Rozete 1x400V+1x230V 16A IP44 v/a </t>
  </si>
  <si>
    <t xml:space="preserve">Rozete 1x230V 16A IP44 v/a </t>
  </si>
  <si>
    <t xml:space="preserve">Rozete 2x230V 16A IP44 v/a </t>
  </si>
  <si>
    <t xml:space="preserve">Rozete 3x230V 16A IP44 v/a </t>
  </si>
  <si>
    <t>Rozete 2x230V 16A IP20 z/a +kārba+rāmītis</t>
  </si>
  <si>
    <t>Rozete 1x230V 16A IP44 z/a +kārba+rāmītis</t>
  </si>
  <si>
    <t>Rozete 2x230V 16A IP44 z/a +kārba+rāmītis</t>
  </si>
  <si>
    <t>Rozete 3x230V 16A IP44 z/a +kārba+rāmītis</t>
  </si>
  <si>
    <t>Rozete 5x230V 16A IP44 z/a +kārba+rāmītis</t>
  </si>
  <si>
    <t>APGAISMOJUMS</t>
  </si>
  <si>
    <t xml:space="preserve">A Nr.1 -  LUXIONA BERYL NEW LED O-2 2800 MICRO-PRM E 33 IP20/44 840 18W 4000K </t>
  </si>
  <si>
    <t>A Nr.2 -  TREVOS PRIMA 1.4ft PC 6400/840   36.1W  4000K IP66</t>
  </si>
  <si>
    <t>A Nr.3 -  LUXIONA BACKPANEL LED 3800 MICRO-PRM E 34 IP20/44 840  25W 4000K</t>
  </si>
  <si>
    <t>A Nr.4 -  LUXIONA BERYL SURFACE NEW LED O-1 1800 MICRO-PRM E IP44 34 840 12W 4000K</t>
  </si>
  <si>
    <t>A Nr.5 -  TREVOS PRIMA LED 1.5ft PC 8000/840  44.3W  4000K IP66</t>
  </si>
  <si>
    <t>A Nr.6 - LUXIONA X-LINE LED 5500 MICRO-PRM E 24 840 / L-1412MM 30W IP44</t>
  </si>
  <si>
    <t>A Nr.7 -  LUXIONA ARTSHAPE ROUND LED SMALL EDGE SUSPENDED 6000 PLX E 34 840 / S-1,5M 50W 4000K (ar iekāršanas stiprinājumiem caur iekārtiem griestiem)</t>
  </si>
  <si>
    <t>A Nr.8 - LUXIONA X-LINE LED 8800 MICRO-PRM E 24 840 / L-2252MM 49W IP44  (ar  stiprinājumiem pie iekārtiem griestiem)</t>
  </si>
  <si>
    <t>A Nr. 9 - Evakuācijas virziennorādes gaismeklis LIBRA 3PLED G117 OP AUT 1W CRI70 6500K 3h</t>
  </si>
  <si>
    <t>A Nr.10 - Vizulo - CLFE 045 830 L05 A008 - Colibri Flood 45 W 8 LED 1x 8 LED MOD A 45.0 W 4949 lm 110.0 lm/W</t>
  </si>
  <si>
    <t>A Nr.11 - SLV  TODAY PRO  Art. Nr.: 1000880 LED, 4000K, IP65, 29 W 97 lm/W</t>
  </si>
  <si>
    <t>A Nr.12 ARA R 1PLED C376 LOA IP65 AUT • 1019422 Avārijas apg.</t>
  </si>
  <si>
    <t>A Nr.13 ARA S 3PLED C392 LOA IP65 AUT • 1019520 Avārijas apg.</t>
  </si>
  <si>
    <t xml:space="preserve">Slēdzis 1P IP44 v/a </t>
  </si>
  <si>
    <t>Slēdzis 1P IP20 z/a ++kārba+rāmīti</t>
  </si>
  <si>
    <t>Slēdzis 2P IP20 z/a ++kārba+rāmīti</t>
  </si>
  <si>
    <t>Pārslēdzis 1P IP20 z/a ++kārba+rāmīti</t>
  </si>
  <si>
    <t>ZIBENS AIZSARDZĪBA</t>
  </si>
  <si>
    <t>Stieple RD 8-ALU</t>
  </si>
  <si>
    <t>Stieples stiprinājums uz jumta, parapeta  159 K-VA</t>
  </si>
  <si>
    <t>Stieples stiprinājums uz jumta  165 R8-10 OBG</t>
  </si>
  <si>
    <t xml:space="preserve">Stieples stiprinājums pie sienas 177 55 N8 </t>
  </si>
  <si>
    <t>Stieples stiprinājums pie sienas 113 -16Z</t>
  </si>
  <si>
    <t>Vario spaile 249 8-10 ALU</t>
  </si>
  <si>
    <t>Kopensators 172 AR</t>
  </si>
  <si>
    <t>Mērījumuspaile 237 N FT</t>
  </si>
  <si>
    <t>Jumta notekreņu skava  262 Rd 8-10</t>
  </si>
  <si>
    <t>Zibens novedējs turētājs 301 S-100</t>
  </si>
  <si>
    <t>Zibens novedējs turētājs 301 V+113 Z-20</t>
  </si>
  <si>
    <t>Zibens aizsardzības komplekts apkures dūmvadam (Precizēt dūmvada materiāu un augstumu)</t>
  </si>
  <si>
    <t xml:space="preserve">Stiprinājumi RD8 pie metāla konstrukcijām </t>
  </si>
  <si>
    <t>Potenciālu izlīdzināšanas kopne</t>
  </si>
  <si>
    <t>16-00000</t>
  </si>
  <si>
    <t>18-00000</t>
  </si>
  <si>
    <t>Palīgmateriāli</t>
  </si>
  <si>
    <t>22-00000</t>
  </si>
  <si>
    <t>Zibens aizsardzības montāža</t>
  </si>
  <si>
    <t>Lokālā tāme Nr.11</t>
  </si>
  <si>
    <t>Kontroles panelis Smartline 020-4</t>
  </si>
  <si>
    <t>Paplašinātājs 8 zonu Smartline 8z</t>
  </si>
  <si>
    <t>Akumulators 12V 9 Ah</t>
  </si>
  <si>
    <t>Optiskais dūmu detektors Orbis ORB-OP-12001-APO ar bāzi</t>
  </si>
  <si>
    <t>Siltuma  detektors Orbis ORB-HT-1101-APO ar bāzi</t>
  </si>
  <si>
    <t>Siltuma detektors Panasonic 6295</t>
  </si>
  <si>
    <t>Iznesamais indikators RI9000</t>
  </si>
  <si>
    <t>Rokas signalizators FP/3RD</t>
  </si>
  <si>
    <t>Sirēna  AH-03127S</t>
  </si>
  <si>
    <t>Sirēna/strobs AH-03127BS</t>
  </si>
  <si>
    <t>Sirēna/strobs WS100-AV</t>
  </si>
  <si>
    <t>Kabelis KLMA 1x2x0.8</t>
  </si>
  <si>
    <t>Kabelis ugunsdrošais E30 1x2x0.8</t>
  </si>
  <si>
    <t>Kabelis ugunsdrošais E30 1x2x1</t>
  </si>
  <si>
    <t>Spēka kabelis ugunsdrošais E30 3x1.5</t>
  </si>
  <si>
    <t>PP caurule D20 ar stiprinājumiem</t>
  </si>
  <si>
    <t>PP caurule D25 ar stiprinājumiem</t>
  </si>
  <si>
    <t>Līkumi pārejas, savienojumi PP caurulēm</t>
  </si>
  <si>
    <t>Apzīmējuma uzlīmes</t>
  </si>
  <si>
    <t>Ugunsdrošie stiprinājumi ar atbilstgošām skrūvēm/naglām E30/60/90</t>
  </si>
  <si>
    <t xml:space="preserve">Ugunsdrošis blīvējums caur ugunsdrošajām sienām </t>
  </si>
  <si>
    <t xml:space="preserve">kg </t>
  </si>
  <si>
    <t>Ugunsdrošais silikons lieko atvērumu aizdarīšanai 31-ml</t>
  </si>
  <si>
    <t>Lokālā tāme Nr.12</t>
  </si>
  <si>
    <t>Lokālā tāme Nr.13</t>
  </si>
  <si>
    <t>Apkures tīklu montāža</t>
  </si>
  <si>
    <t>Ventilācijas tīklu montāža</t>
  </si>
  <si>
    <t>Lokālā tāme Nr.14</t>
  </si>
  <si>
    <t>Karstā ūdens apkures loka sūkņa bloks HS 32/7.5</t>
  </si>
  <si>
    <t>Radiatoru apkures loka sūkņa bloks HSM 25/6</t>
  </si>
  <si>
    <t>Kolektora, sūkņu bloku pārejas un stiprinājumi</t>
  </si>
  <si>
    <t>Karstā ūdens recirkulācijas sūknis Wilo Star Z 20/7-3 ar saskrūvēm un noslēgventīliem</t>
  </si>
  <si>
    <t>Apkures sistēmas uzpildes mezgls ar skaitītāju</t>
  </si>
  <si>
    <t>Aukstā ūdens pievienojums karstā ūdens Tvertnei ar skaitītāju</t>
  </si>
  <si>
    <t xml:space="preserve">Izplešanās trauks apkurei  50L ar kapes ventili </t>
  </si>
  <si>
    <t>Izplešanās trauks karstajam ūdenim 35L</t>
  </si>
  <si>
    <t>Savienojošie cauruļvadi , noslēgarmatūra, sakrūves drošibas vārsts, veiddaļas</t>
  </si>
  <si>
    <t>Tērauda presējamās caurules ar cinka pārklājumu  Dn15</t>
  </si>
  <si>
    <t>Tērauda presējamās caurules ar cinka pārklājumu  Dn20</t>
  </si>
  <si>
    <t>Tērauda presējamās caurules ar cinka pārklājumu  Dn25</t>
  </si>
  <si>
    <t>Presējamās sistēmas cauruļvadu veidgabali</t>
  </si>
  <si>
    <t>Kaučuka izolācija</t>
  </si>
  <si>
    <t>Radiators ar sānu pieslēgumu un stiprinājumu</t>
  </si>
  <si>
    <t>Radiatoru noslēgvārsts atgaitai taisns</t>
  </si>
  <si>
    <t>Radiatoru termoventīlis aksiāls ar termogalvu</t>
  </si>
  <si>
    <t xml:space="preserve">Automātiskoie atgaisotāji </t>
  </si>
  <si>
    <t xml:space="preserve">Hilti ugunsdrošā mastika </t>
  </si>
  <si>
    <t>Mīksta nedegoša akmens vate</t>
  </si>
  <si>
    <t>Elektrisks gaisa aizkars ar vadību un durvju sensoru</t>
  </si>
  <si>
    <t xml:space="preserve">Montāžas un  stiprināšanas elementi </t>
  </si>
  <si>
    <t>ml</t>
  </si>
  <si>
    <t xml:space="preserve">Radiatoru apkures </t>
  </si>
  <si>
    <t xml:space="preserve">Automātikas kabeļi un kabeļu montāžas materiāli </t>
  </si>
  <si>
    <t xml:space="preserve">Apkures kolektors 2 lokiem </t>
  </si>
  <si>
    <t>Siltummezgls</t>
  </si>
  <si>
    <t>17-00000</t>
  </si>
  <si>
    <t>Ventilācijas sistēmas</t>
  </si>
  <si>
    <t>Gaisa apstrādes iekārta (PN-1) ar pretplūsmas siltummaini, filtriem, ventilatoriem, el.kaloriferiem, frekvenču pārveidotājiem, vadību un automātiku</t>
  </si>
  <si>
    <t>Pieplūdes reste</t>
  </si>
  <si>
    <t>Pieplūdes kanālveida reste</t>
  </si>
  <si>
    <t>Tvaika nosūcējs ar filtru un ventilatoru</t>
  </si>
  <si>
    <t>Montāžas un stiprināšanas elementi (skrūves, blīvēšanas materiāli, vītņstieņi, iekares,u.c.)</t>
  </si>
  <si>
    <t>Automātikas kabeļi un kabeļu montāžas materiāli (plastmasas aizsargcaurules, stiprinājumi, spailes, kārbas, u.c.)</t>
  </si>
  <si>
    <t>Izolācijas montāžas elementi -līme, noseglentas, u.c.</t>
  </si>
  <si>
    <t>Sistēmu marķēšanas materiāli</t>
  </si>
  <si>
    <t>Apaļais gaisa vads cinkotais 100</t>
  </si>
  <si>
    <t>Apaļais gaisa vads cinkotais 125</t>
  </si>
  <si>
    <t>Apaļais gaisa vads cinkotais 160</t>
  </si>
  <si>
    <t>Apaļais gaisa vads cinkotais 200</t>
  </si>
  <si>
    <t>Apaļais gaisa vads cinkotais 250</t>
  </si>
  <si>
    <t>Apaļais gaisa vads cinkotais 315</t>
  </si>
  <si>
    <t>Gaisa vada līkums cinkotais 100</t>
  </si>
  <si>
    <t>Gaisa vada līkums cinkotais 125</t>
  </si>
  <si>
    <t>Gaisa vada līkums cinkotais 160</t>
  </si>
  <si>
    <t>Gaisa vada līkums cinkotais 250</t>
  </si>
  <si>
    <t>Gaisa vada trejgabals 160/160/100</t>
  </si>
  <si>
    <t>Gaisa vada trejgabals 160/160/160</t>
  </si>
  <si>
    <t>Gaisa vada trejgabals 200/200/100</t>
  </si>
  <si>
    <t>Gaisa vada trejgabals 200/200/125</t>
  </si>
  <si>
    <t>Gaisa vada trejgabals 200/200/160</t>
  </si>
  <si>
    <t>Gaisa vada trejgabals 200/200/200</t>
  </si>
  <si>
    <t>Gaisa vada trejgabals 250/250/125</t>
  </si>
  <si>
    <t>Gaisa vada trejgabals 250/250/20</t>
  </si>
  <si>
    <t>Gaisa vada sāna pievienojums 160</t>
  </si>
  <si>
    <t>Gaisa vada pāreja 160/125</t>
  </si>
  <si>
    <t>Gaisa vada pāreja 200/125</t>
  </si>
  <si>
    <t>Gaisa vada pāreja 200/160</t>
  </si>
  <si>
    <t>Gaisa vada pāreja 250/160</t>
  </si>
  <si>
    <t>Gaisa vada pāreja 250/200</t>
  </si>
  <si>
    <t>Gaisa vada pāreja 315/250</t>
  </si>
  <si>
    <t>Gaisa vada pāreja 315/160</t>
  </si>
  <si>
    <t>Gaisa vada gala vāks 160</t>
  </si>
  <si>
    <t>Pieplūdes difuzors 100</t>
  </si>
  <si>
    <t>Pieplūdes difuzors 125</t>
  </si>
  <si>
    <t>Nosūces difuzors 100</t>
  </si>
  <si>
    <t>Nosūces difuzors 125</t>
  </si>
  <si>
    <t>Nosūces reste JR7/2-300x100</t>
  </si>
  <si>
    <t>Nosūces reste SKP-3-425x75</t>
  </si>
  <si>
    <t>Gaisa ieņemšanas reste 350</t>
  </si>
  <si>
    <t>Gaisa izmešanas reste 350</t>
  </si>
  <si>
    <t>Noslēgvārsts ar piedziņu AGUJ-M-250+230LF</t>
  </si>
  <si>
    <t>Gaisa droseļvārsts 100</t>
  </si>
  <si>
    <t>Gaisa droseļvārsts 125</t>
  </si>
  <si>
    <t>Gaisa droseļvārsts 160</t>
  </si>
  <si>
    <t>Gaisa droseļvārsts 200</t>
  </si>
  <si>
    <t>Trokšņu slāpētājs AGS-250-50-900-M</t>
  </si>
  <si>
    <t>Siltumizolācija K Flex  ST Duct  30mm</t>
  </si>
  <si>
    <t>Ugunsdrošais vārsts ar kūstošo elementu UVA30-200_t</t>
  </si>
  <si>
    <t>Ugunsdrošais vārsts ar kūstošo elementu UVA30-250_t</t>
  </si>
  <si>
    <t>Gaisa izmešanas reste YGAV-160</t>
  </si>
  <si>
    <t>Deflektors (dabīga nosūce) AD-160</t>
  </si>
  <si>
    <t>Gaisa gala vāks ar sietu 160</t>
  </si>
  <si>
    <t>Hermētiska jumta caurlaide 250</t>
  </si>
  <si>
    <t>Lokālā tāme Nr.15</t>
  </si>
  <si>
    <t>UKT tīklu montāža</t>
  </si>
  <si>
    <t>Smilts pamatnes ierīkošana zem cauruļvadiem h=0,15m (Grunti noblīvēt līdz dabīgā blīvuma pakāpei)</t>
  </si>
  <si>
    <t>Smilšu grunts apbērums, h=30cm (Grunti noblīvēt līdz dabīgā blīvuma pakāpei)</t>
  </si>
  <si>
    <t>Izraktās grunts transportēšana uz atbērtni</t>
  </si>
  <si>
    <t>27-00000</t>
  </si>
  <si>
    <t xml:space="preserve">Ūdensvads </t>
  </si>
  <si>
    <t>Tranšejas rakšana bez papildus stiprinājumiem dziļumā no 1,5-2,0m</t>
  </si>
  <si>
    <t>Ūdensvada caurule PE100 RC, PN10 Ø32 (Evopipes Ultrastress Visio, vai ekvivalents)</t>
  </si>
  <si>
    <t>Tranšejas aizbēršana ar esošo grunti līdz seguma šķērsgriezumam. (Grunti noblīvēt līdz dabīgā blīvuma pakāpei)</t>
  </si>
  <si>
    <t>Cauruļvada hodrauliskā pārbaude</t>
  </si>
  <si>
    <t xml:space="preserve">Pievienojums pie esošā ūdensvada </t>
  </si>
  <si>
    <t>Sadzīves kanalizācija</t>
  </si>
  <si>
    <t>Esošās akas demontāža</t>
  </si>
  <si>
    <t>Smilts pamatnes ierīkošana zem tauku atdalitāja  h=0,30m (Grunti noblīvēt līdz dabīgā blīvuma pakāpei)</t>
  </si>
  <si>
    <t>Tranšejas rakšana bez papildus stiprinājumiem dziļumā līdz 3,5m</t>
  </si>
  <si>
    <t>Tauku atdalītāja  Lipumax P-B NS2(l/s)_A15 (1.5t), ACO</t>
  </si>
  <si>
    <t>Smilšu grunts apbērums, h=120cm (Grunti noblīvēt līdz dabīgā blīvuma pakāpei)</t>
  </si>
  <si>
    <t>Lietus kanalizācija</t>
  </si>
  <si>
    <t>Lietus kanalizācijas aka Ø400/315, ar atzariem DN160 (Evopipes CSB vai ekvivalents) ar kaļamā ķeta vāku, slodzes klase D400 (1,5-2,0 m dziļumā)</t>
  </si>
  <si>
    <t>Caurules (PVC) OD160 SN8 izbūve atklātā tranšejā (Evopipes Evorain, vai ekvivalents)</t>
  </si>
  <si>
    <t xml:space="preserve">Caurules (PVC) OD110 SN8 izbūve lietus ūdens uztvērējam </t>
  </si>
  <si>
    <t>Pievienojuma veidgabals, kas paredzēts Ø110 caurules pievienojumam plastmasas akai</t>
  </si>
  <si>
    <t>Lietus ūdens notekas pašattīrošais siets (Ruukki, vai ekvivalents)</t>
  </si>
  <si>
    <t>Kanalizācijas cauruļvadu skalošana un tīrīšana</t>
  </si>
  <si>
    <t>Līkums 45gr PVC DN110</t>
  </si>
  <si>
    <t>Diametru pāreja PVC DN110/160</t>
  </si>
  <si>
    <t>PVC uzmavas noslēgtapa DN160</t>
  </si>
  <si>
    <t>Lietu ūdens akumulācijas tvertne, komplektā ar ģeomembrānu un skataku, iebūvēta 0,9m dziļumā (Wavin Q-Bic un Q-BB vai analogs izstradājums)</t>
  </si>
  <si>
    <t>Digitāla izpildmērījuma sagatavošana</t>
  </si>
  <si>
    <t>ELT tīklu montāža</t>
  </si>
  <si>
    <t>Elektroauto uzlādes stacija</t>
  </si>
  <si>
    <t>Tranšejas rakšana, aizbēršana 1-3 kabeļiem/PE caurulēm</t>
  </si>
  <si>
    <t>PE caurule ar buksieri PE D50, 750N</t>
  </si>
  <si>
    <t>Kabelis  NYY-J-5x35</t>
  </si>
  <si>
    <t>Sadalne K4-24</t>
  </si>
  <si>
    <t>Sadalnes pamatne  P4</t>
  </si>
  <si>
    <t>Kabeļa gala apdare 35mm2 5-dzīslas</t>
  </si>
  <si>
    <t>Kabeļa brīdinājuma lenta "Uzmanību kabelis"</t>
  </si>
  <si>
    <t xml:space="preserve">Montāžas palīgmateriāli </t>
  </si>
  <si>
    <t>Uzlādes stacija DC ātra uzlāde INOVISION 60 kW 2 x CCS2 su 5m kabelis (LAN, WLAN+GSM) OCPP 1.6</t>
  </si>
  <si>
    <t>Video novērošana</t>
  </si>
  <si>
    <t>2 gab.8MP Bullet kameras INOVISION VAI2085HKB + Hikvision 7604NI ierakstītājs + 2x20m kabeļu komplekts</t>
  </si>
  <si>
    <t>Statņa montāža</t>
  </si>
  <si>
    <t>Kabeļa montāža</t>
  </si>
  <si>
    <t>Kabeļa gala apdare 4-dzīslas</t>
  </si>
  <si>
    <t>Cauruļu dn250 demontāža</t>
  </si>
  <si>
    <t>Kanalizācijas izvadu hermitizēšana</t>
  </si>
  <si>
    <t>Būvlaukuma uzturēšana</t>
  </si>
  <si>
    <t>Būvlaukuma nožogošana ar pagaidu nožogojumu, t.sk. Vārti, noma</t>
  </si>
  <si>
    <t>Brīdinājuma zīmju uzstādīšana</t>
  </si>
  <si>
    <t>kompl.</t>
  </si>
  <si>
    <t>Strādnieku sadzīves vagoniņš un instrumentu noliktava 10,00 m2</t>
  </si>
  <si>
    <t>gab.</t>
  </si>
  <si>
    <t>BIO tualete</t>
  </si>
  <si>
    <t>Būvlaukuma ugunsdzēsības komplekts (ugunsdzēsības stends, ugunsdzēsības aparāti)</t>
  </si>
  <si>
    <t>Būvgružu konteinera noma, t.sk. Novietošana un aizvešana</t>
  </si>
  <si>
    <t>Elektrības pieslēgums ar skaitītāju uz būvniecības laiku</t>
  </si>
  <si>
    <t>Ūdens pieslēgums ar skaitītāju uz būvniecības laiku</t>
  </si>
  <si>
    <t>Būvtāfeles izveide un uzstādīšana</t>
  </si>
  <si>
    <t>Jumta seguma demontāža</t>
  </si>
  <si>
    <t>m2</t>
  </si>
  <si>
    <t>Latojuma demontāža</t>
  </si>
  <si>
    <t>Tekņu un noteku demontāža demontāža</t>
  </si>
  <si>
    <t>Spāru demontāža</t>
  </si>
  <si>
    <t>Jumta kopņu montāža</t>
  </si>
  <si>
    <t>Spāru montāža</t>
  </si>
  <si>
    <t>Mūrlatas montāža</t>
  </si>
  <si>
    <t>Jumta krēsla montāža</t>
  </si>
  <si>
    <t>Projektēta difūzijas membrāna TYVEK Supro Plus</t>
  </si>
  <si>
    <t>Projektēts izolācijas stiprinājuma latas pa spāri 50x50(h)</t>
  </si>
  <si>
    <t>Projektēts retināts dēļu klājs 100x25(h)</t>
  </si>
  <si>
    <t>Metāla jumta seguma montāža</t>
  </si>
  <si>
    <t>Kores montāža</t>
  </si>
  <si>
    <t>Metāla karnīzes montāža</t>
  </si>
  <si>
    <t>Sateknes montāža</t>
  </si>
  <si>
    <t>Metāla vēja līstes montāža</t>
  </si>
  <si>
    <t>Skursteņa pieslēguma montāža</t>
  </si>
  <si>
    <t>Vēja kastes apšūšana ar apdares dēļiem</t>
  </si>
  <si>
    <t>Lietus ūdens tekņu un noteku montāža</t>
  </si>
  <si>
    <t>Asbestu saturošo būvgružu konteinera noma, t.sk. Novietošana un aizvešana</t>
  </si>
  <si>
    <t>t</t>
  </si>
  <si>
    <t>Asbestu nesaturošo būvgružu konteinera noma, t.sk. Novietošana un aizvešana</t>
  </si>
  <si>
    <t xml:space="preserve"> </t>
  </si>
  <si>
    <t xml:space="preserve">2026. gada__________________ </t>
  </si>
  <si>
    <t>Adrese:</t>
  </si>
  <si>
    <t>T 1005</t>
  </si>
  <si>
    <t>Vispārceltnieciskie darbi. Koptāme</t>
  </si>
  <si>
    <t>Datums:</t>
  </si>
  <si>
    <t>Nr.</t>
  </si>
  <si>
    <t>Darbu nosaukums</t>
  </si>
  <si>
    <t>Mērv.</t>
  </si>
  <si>
    <t>Apjoms</t>
  </si>
  <si>
    <t>Darbs EUR</t>
  </si>
  <si>
    <t>Materiāli EUR</t>
  </si>
  <si>
    <t>Mehānismi EUR</t>
  </si>
  <si>
    <t>Kopējās izmaksas</t>
  </si>
  <si>
    <t>Objekta Apsekošana</t>
  </si>
  <si>
    <t>kompl</t>
  </si>
  <si>
    <t>Zemesdarbi</t>
  </si>
  <si>
    <t xml:space="preserve">Grunts pielīdzināšana </t>
  </si>
  <si>
    <t xml:space="preserve">Esošā asfalta apzāģēšana </t>
  </si>
  <si>
    <t xml:space="preserve">Grunts blietēšana </t>
  </si>
  <si>
    <t>Tehnikas transportēšana</t>
  </si>
  <si>
    <t>Pamati</t>
  </si>
  <si>
    <t xml:space="preserve">Stikla šķiedras siets d200x200 ieklāšana , distnceri </t>
  </si>
  <si>
    <t xml:space="preserve">Ģeotekstils NW6 betona pārklāšanai pēc betonēšnas </t>
  </si>
  <si>
    <t>Āra laukuma plātntes betonēšana H-150mm, 1% Kritumā</t>
  </si>
  <si>
    <t>Betons</t>
  </si>
  <si>
    <t>Strela</t>
  </si>
  <si>
    <t>Piegade betona</t>
  </si>
  <si>
    <t>Armatūra</t>
  </si>
  <si>
    <t>KG</t>
  </si>
  <si>
    <t>Tenta angars EURO EXTREME HS</t>
  </si>
  <si>
    <t>gab</t>
  </si>
  <si>
    <t>Kopā ar PVN 21%</t>
  </si>
  <si>
    <t xml:space="preserve">Sastādīja:                                                              </t>
  </si>
  <si>
    <t>Tāme sastādīta</t>
  </si>
  <si>
    <t xml:space="preserve">Objekta nosaukums:  
</t>
  </si>
  <si>
    <t xml:space="preserve">Būve nosaukums: </t>
  </si>
  <si>
    <t>Tāme sastādīta:</t>
  </si>
  <si>
    <t>Objekta nosaukums:</t>
  </si>
  <si>
    <t xml:space="preserve">Objekta adrese: </t>
  </si>
  <si>
    <t xml:space="preserve">Tāme sastādīta </t>
  </si>
  <si>
    <t xml:space="preserve">Objekta nosaukums: 
</t>
  </si>
  <si>
    <t>Būve nosaukums:</t>
  </si>
  <si>
    <t>Objekta adrese:</t>
  </si>
  <si>
    <t xml:space="preserve">Būves nosaukums: </t>
  </si>
  <si>
    <t xml:space="preserve">Pasūtītājs: </t>
  </si>
  <si>
    <t>3. pielikums</t>
  </si>
  <si>
    <t xml:space="preserve">Objekta nosaukums: </t>
  </si>
  <si>
    <t xml:space="preserve">Sastādīja:                                                                                    </t>
  </si>
  <si>
    <t xml:space="preserve">Objekta nosaukums:  </t>
  </si>
  <si>
    <t xml:space="preserve">Ražošanas ēkas lit. Nr.001 pārbūve un ēkas lit. Nr.002 fasādes atjaunošanas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</si>
</sst>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0.00;[Red]0.00"/>
    <numFmt numFmtId="167" formatCode="yyyy\.mm\.dd\.;@"/>
    <numFmt numFmtId="168" formatCode="0.000"/>
    <numFmt numFmtId="169" formatCode="_(* #,##0.00_);_(* \(#,##0.00\);_(* &quot;-&quot;??_);_(@_)"/>
    <numFmt numFmtId="170" formatCode="_-* #,##0.00\ _L_s_-;\-* #,##0.00\ _L_s_-;_-* &quot;-&quot;??\ _L_s_-;_-@_-"/>
    <numFmt numFmtId="171" formatCode="_-* #,##0&quot;$&quot;_-;\-* #,##0&quot;$&quot;_-;_-* &quot;-&quot;&quot;$&quot;_-;_-@_-"/>
    <numFmt numFmtId="172" formatCode="_-* #,##0.00&quot;$&quot;_-;\-* #,##0.00&quot;$&quot;_-;_-* &quot;-&quot;??&quot;$&quot;_-;_-@_-"/>
    <numFmt numFmtId="173" formatCode="m\o\n\th\ d\,\ yyyy"/>
    <numFmt numFmtId="174" formatCode="#.00"/>
    <numFmt numFmtId="175" formatCode="#."/>
    <numFmt numFmtId="176" formatCode="&quot;See Note &quot;\ #"/>
    <numFmt numFmtId="177" formatCode="_(* ###0.00_);_(* \(###0.00\);_(* &quot;-&quot;??_);_(@_)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180" formatCode="_(* #,##0.00_);_(* \(#,##0.00\);_(* \-??_);_(@_)"/>
    <numFmt numFmtId="181" formatCode="_-&quot;Ls &quot;* #,##0.00_-;&quot;-Ls &quot;* #,##0.00_-;_-&quot;Ls &quot;* \-??_-;_-@_-"/>
    <numFmt numFmtId="182" formatCode="_-* #,##0.00\ _L_s_-;\-* #,##0.00\ _L_s_-;_-* \-??\ _L_s_-;_-@_-"/>
    <numFmt numFmtId="183" formatCode="0.00;;"/>
    <numFmt numFmtId="184" formatCode="_-* #,##0_-;\-* #,##0_-;_-* &quot;-&quot;??_-;_-@_-"/>
    <numFmt numFmtId="185" formatCode="#,##0.00\ &quot;€&quot;"/>
  </numFmts>
  <fonts count="14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0"/>
      <color indexed="8"/>
      <name val="Times New Roman"/>
      <family val="1"/>
      <charset val="186"/>
    </font>
    <font>
      <sz val="10"/>
      <name val="Arial"/>
      <family val="2"/>
    </font>
    <font>
      <sz val="10"/>
      <color indexed="8"/>
      <name val="Arial"/>
      <family val="2"/>
      <charset val="186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</font>
    <font>
      <sz val="10"/>
      <name val="Arial Cyr"/>
      <charset val="204"/>
    </font>
    <font>
      <sz val="1"/>
      <color indexed="8"/>
      <name val="Courier"/>
      <family val="1"/>
      <charset val="186"/>
    </font>
    <font>
      <sz val="10"/>
      <name val="Baltica"/>
    </font>
    <font>
      <b/>
      <sz val="1"/>
      <color indexed="8"/>
      <name val="Courier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10"/>
      <name val="Helv"/>
      <family val="2"/>
    </font>
    <font>
      <b/>
      <sz val="18"/>
      <color indexed="62"/>
      <name val="Cambria"/>
      <family val="2"/>
      <charset val="186"/>
    </font>
    <font>
      <sz val="9"/>
      <name val="TextBook"/>
    </font>
    <font>
      <sz val="8"/>
      <name val="Helv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u/>
      <sz val="10"/>
      <color indexed="12"/>
      <name val="Arial"/>
      <family val="2"/>
    </font>
    <font>
      <sz val="12"/>
      <name val="Courier"/>
      <family val="1"/>
      <charset val="186"/>
    </font>
    <font>
      <sz val="11"/>
      <color indexed="8"/>
      <name val="Calibri"/>
      <family val="2"/>
      <charset val="204"/>
    </font>
    <font>
      <sz val="10"/>
      <name val="TimesLR"/>
    </font>
    <font>
      <b/>
      <sz val="15"/>
      <color indexed="54"/>
      <name val="Calibri"/>
      <family val="2"/>
      <charset val="186"/>
    </font>
    <font>
      <b/>
      <sz val="13"/>
      <color indexed="54"/>
      <name val="Calibri"/>
      <family val="2"/>
      <charset val="186"/>
    </font>
    <font>
      <b/>
      <sz val="11"/>
      <color indexed="54"/>
      <name val="Calibri"/>
      <family val="2"/>
      <charset val="186"/>
    </font>
    <font>
      <sz val="10"/>
      <name val="MS Sans Serif"/>
      <family val="2"/>
      <charset val="186"/>
    </font>
    <font>
      <sz val="10"/>
      <color indexed="64"/>
      <name val="Arial"/>
      <family val="2"/>
      <charset val="186"/>
    </font>
    <font>
      <sz val="18"/>
      <color indexed="54"/>
      <name val="Calibri Light"/>
      <family val="2"/>
      <charset val="186"/>
    </font>
    <font>
      <sz val="10"/>
      <color indexed="64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RimTimes"/>
    </font>
    <font>
      <sz val="8"/>
      <name val="BaltFrizQuadrata"/>
      <charset val="186"/>
    </font>
    <font>
      <sz val="10"/>
      <color indexed="8"/>
      <name val="Arial"/>
      <family val="2"/>
      <charset val="204"/>
    </font>
    <font>
      <sz val="12"/>
      <name val="Arial Narrow"/>
      <family val="2"/>
      <charset val="186"/>
    </font>
    <font>
      <sz val="9.75"/>
      <name val="Arial"/>
      <family val="2"/>
      <charset val="186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sz val="12"/>
      <name val="Courier"/>
      <family val="3"/>
    </font>
    <font>
      <b/>
      <sz val="11"/>
      <color indexed="10"/>
      <name val="Calibri"/>
      <family val="2"/>
      <charset val="186"/>
    </font>
    <font>
      <sz val="11"/>
      <color indexed="19"/>
      <name val="Calibri"/>
      <family val="2"/>
      <charset val="186"/>
    </font>
    <font>
      <sz val="8"/>
      <name val="LVHelvetica"/>
      <charset val="204"/>
    </font>
    <font>
      <sz val="11"/>
      <name val="Times New Roman"/>
      <family val="1"/>
      <charset val="1"/>
    </font>
    <font>
      <vertAlign val="super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</font>
    <font>
      <sz val="11"/>
      <color rgb="FF9C6500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41414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70C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sz val="8"/>
      <color rgb="FF414142"/>
      <name val="Times New Roman"/>
      <family val="1"/>
      <charset val="204"/>
    </font>
    <font>
      <sz val="8"/>
      <name val="Calibri"/>
      <family val="2"/>
      <scheme val="minor"/>
    </font>
    <font>
      <sz val="10"/>
      <name val="Arial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  <charset val="186"/>
    </font>
    <font>
      <sz val="10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lightGray"/>
    </fill>
    <fill>
      <patternFill patternType="solid">
        <fgColor indexed="43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611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6" borderId="0" applyNumberFormat="0" applyBorder="0" applyAlignment="0" applyProtection="0"/>
    <xf numFmtId="0" fontId="23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23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2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3" fillId="6" borderId="0" applyNumberFormat="0" applyBorder="0" applyAlignment="0" applyProtection="0"/>
    <xf numFmtId="0" fontId="83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83" fillId="10" borderId="0" applyNumberFormat="0" applyBorder="0" applyAlignment="0" applyProtection="0"/>
    <xf numFmtId="0" fontId="83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3" fillId="14" borderId="0" applyNumberFormat="0" applyBorder="0" applyAlignment="0" applyProtection="0"/>
    <xf numFmtId="0" fontId="83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9" borderId="0" applyNumberFormat="0" applyBorder="0" applyAlignment="0" applyProtection="0"/>
    <xf numFmtId="0" fontId="23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23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23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1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83" fillId="28" borderId="0" applyNumberFormat="0" applyBorder="0" applyAlignment="0" applyProtection="0"/>
    <xf numFmtId="0" fontId="83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3" fillId="32" borderId="0" applyNumberFormat="0" applyBorder="0" applyAlignment="0" applyProtection="0"/>
    <xf numFmtId="0" fontId="83" fillId="3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24" fillId="2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40" fillId="3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40" fillId="27" borderId="0" applyNumberFormat="0" applyBorder="0" applyAlignment="0" applyProtection="0"/>
    <xf numFmtId="0" fontId="24" fillId="35" borderId="0" applyNumberFormat="0" applyBorder="0" applyAlignment="0" applyProtection="0"/>
    <xf numFmtId="0" fontId="24" fillId="12" borderId="0" applyNumberFormat="0" applyBorder="0" applyAlignment="0" applyProtection="0"/>
    <xf numFmtId="0" fontId="40" fillId="29" borderId="0" applyNumberFormat="0" applyBorder="0" applyAlignment="0" applyProtection="0"/>
    <xf numFmtId="0" fontId="24" fillId="32" borderId="0" applyNumberFormat="0" applyBorder="0" applyAlignment="0" applyProtection="0"/>
    <xf numFmtId="0" fontId="24" fillId="30" borderId="0" applyNumberFormat="0" applyBorder="0" applyAlignment="0" applyProtection="0"/>
    <xf numFmtId="0" fontId="40" fillId="25" borderId="0" applyNumberFormat="0" applyBorder="0" applyAlignment="0" applyProtection="0"/>
    <xf numFmtId="0" fontId="24" fillId="10" borderId="0" applyNumberFormat="0" applyBorder="0" applyAlignment="0" applyProtection="0"/>
    <xf numFmtId="0" fontId="24" fillId="31" borderId="0" applyNumberFormat="0" applyBorder="0" applyAlignment="0" applyProtection="0"/>
    <xf numFmtId="0" fontId="40" fillId="34" borderId="0" applyNumberFormat="0" applyBorder="0" applyAlignment="0" applyProtection="0"/>
    <xf numFmtId="0" fontId="24" fillId="8" borderId="0" applyNumberFormat="0" applyBorder="0" applyAlignment="0" applyProtection="0"/>
    <xf numFmtId="0" fontId="40" fillId="41" borderId="0" applyNumberFormat="0" applyBorder="0" applyAlignment="0" applyProtection="0"/>
    <xf numFmtId="0" fontId="24" fillId="13" borderId="0" applyNumberFormat="0" applyBorder="0" applyAlignment="0" applyProtection="0"/>
    <xf numFmtId="0" fontId="24" fillId="2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6" fillId="37" borderId="0" applyNumberFormat="0" applyBorder="0" applyAlignment="0" applyProtection="0"/>
    <xf numFmtId="0" fontId="86" fillId="37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86" fillId="28" borderId="0" applyNumberFormat="0" applyBorder="0" applyAlignment="0" applyProtection="0"/>
    <xf numFmtId="0" fontId="86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6" fillId="40" borderId="0" applyNumberFormat="0" applyBorder="0" applyAlignment="0" applyProtection="0"/>
    <xf numFmtId="0" fontId="86" fillId="40" borderId="0" applyNumberFormat="0" applyBorder="0" applyAlignment="0" applyProtection="0"/>
    <xf numFmtId="0" fontId="24" fillId="2" borderId="0" applyNumberFormat="0" applyBorder="0" applyAlignment="0" applyProtection="0"/>
    <xf numFmtId="0" fontId="24" fillId="38" borderId="0" applyNumberFormat="0" applyBorder="0" applyAlignment="0" applyProtection="0"/>
    <xf numFmtId="0" fontId="24" fillId="1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25" borderId="0" applyNumberFormat="0" applyBorder="0" applyAlignment="0" applyProtection="0"/>
    <xf numFmtId="0" fontId="24" fillId="2" borderId="0" applyNumberFormat="0" applyBorder="0" applyAlignment="0" applyProtection="0"/>
    <xf numFmtId="0" fontId="24" fillId="34" borderId="0" applyNumberFormat="0" applyBorder="0" applyAlignment="0" applyProtection="0"/>
    <xf numFmtId="0" fontId="24" fillId="12" borderId="0" applyNumberFormat="0" applyBorder="0" applyAlignment="0" applyProtection="0"/>
    <xf numFmtId="0" fontId="24" fillId="41" borderId="0" applyNumberFormat="0" applyBorder="0" applyAlignment="0" applyProtection="0"/>
    <xf numFmtId="171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0" fontId="40" fillId="3" borderId="0" applyNumberFormat="0" applyBorder="0" applyAlignment="0" applyProtection="0"/>
    <xf numFmtId="0" fontId="24" fillId="43" borderId="0" applyNumberFormat="0" applyBorder="0" applyAlignment="0" applyProtection="0"/>
    <xf numFmtId="0" fontId="24" fillId="2" borderId="0" applyNumberFormat="0" applyBorder="0" applyAlignment="0" applyProtection="0"/>
    <xf numFmtId="0" fontId="40" fillId="5" borderId="0" applyNumberFormat="0" applyBorder="0" applyAlignment="0" applyProtection="0"/>
    <xf numFmtId="0" fontId="24" fillId="35" borderId="0" applyNumberFormat="0" applyBorder="0" applyAlignment="0" applyProtection="0"/>
    <xf numFmtId="0" fontId="40" fillId="23" borderId="0" applyNumberFormat="0" applyBorder="0" applyAlignment="0" applyProtection="0"/>
    <xf numFmtId="0" fontId="24" fillId="32" borderId="0" applyNumberFormat="0" applyBorder="0" applyAlignment="0" applyProtection="0"/>
    <xf numFmtId="0" fontId="24" fillId="44" borderId="0" applyNumberFormat="0" applyBorder="0" applyAlignment="0" applyProtection="0"/>
    <xf numFmtId="0" fontId="40" fillId="25" borderId="0" applyNumberFormat="0" applyBorder="0" applyAlignment="0" applyProtection="0"/>
    <xf numFmtId="0" fontId="24" fillId="24" borderId="0" applyNumberFormat="0" applyBorder="0" applyAlignment="0" applyProtection="0"/>
    <xf numFmtId="0" fontId="24" fillId="32" borderId="0" applyNumberFormat="0" applyBorder="0" applyAlignment="0" applyProtection="0"/>
    <xf numFmtId="0" fontId="40" fillId="34" borderId="0" applyNumberFormat="0" applyBorder="0" applyAlignment="0" applyProtection="0"/>
    <xf numFmtId="0" fontId="24" fillId="42" borderId="0" applyNumberFormat="0" applyBorder="0" applyAlignment="0" applyProtection="0"/>
    <xf numFmtId="0" fontId="40" fillId="36" borderId="0" applyNumberFormat="0" applyBorder="0" applyAlignment="0" applyProtection="0"/>
    <xf numFmtId="0" fontId="24" fillId="4" borderId="0" applyNumberFormat="0" applyBorder="0" applyAlignment="0" applyProtection="0"/>
    <xf numFmtId="0" fontId="24" fillId="22" borderId="0" applyNumberFormat="0" applyBorder="0" applyAlignment="0" applyProtection="0"/>
    <xf numFmtId="0" fontId="25" fillId="45" borderId="1" applyNumberFormat="0" applyAlignment="0" applyProtection="0"/>
    <xf numFmtId="0" fontId="25" fillId="16" borderId="1" applyNumberFormat="0" applyAlignment="0" applyProtection="0"/>
    <xf numFmtId="43" fontId="2" fillId="0" borderId="0" applyFont="0" applyFill="0" applyBorder="0" applyAlignment="0" applyProtection="0"/>
    <xf numFmtId="0" fontId="66" fillId="11" borderId="0" applyNumberFormat="0" applyBorder="0" applyAlignment="0" applyProtection="0"/>
    <xf numFmtId="0" fontId="36" fillId="18" borderId="0" applyNumberFormat="0" applyBorder="0" applyAlignment="0" applyProtection="0"/>
    <xf numFmtId="0" fontId="26" fillId="0" borderId="0" applyNumberFormat="0" applyFill="0" applyBorder="0" applyAlignment="0" applyProtection="0"/>
    <xf numFmtId="0" fontId="67" fillId="45" borderId="1" applyNumberFormat="0" applyAlignment="0" applyProtection="0"/>
    <xf numFmtId="0" fontId="103" fillId="16" borderId="1" applyNumberFormat="0" applyAlignment="0" applyProtection="0"/>
    <xf numFmtId="0" fontId="68" fillId="46" borderId="2" applyNumberFormat="0" applyAlignment="0" applyProtection="0"/>
    <xf numFmtId="43" fontId="1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ill="0" applyBorder="0" applyAlignment="0" applyProtection="0"/>
    <xf numFmtId="173" fontId="42" fillId="0" borderId="0"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0" borderId="0" applyNumberFormat="0"/>
    <xf numFmtId="0" fontId="2" fillId="0" borderId="0"/>
    <xf numFmtId="0" fontId="1" fillId="0" borderId="0"/>
    <xf numFmtId="0" fontId="57" fillId="0" borderId="0"/>
    <xf numFmtId="0" fontId="23" fillId="0" borderId="0"/>
    <xf numFmtId="0" fontId="1" fillId="0" borderId="0"/>
    <xf numFmtId="0" fontId="23" fillId="0" borderId="0"/>
    <xf numFmtId="0" fontId="5" fillId="0" borderId="0"/>
    <xf numFmtId="0" fontId="57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5" fillId="0" borderId="0"/>
    <xf numFmtId="174" fontId="42" fillId="0" borderId="0">
      <protection locked="0"/>
    </xf>
    <xf numFmtId="0" fontId="70" fillId="15" borderId="0" applyNumberFormat="0" applyBorder="0" applyAlignment="0" applyProtection="0"/>
    <xf numFmtId="0" fontId="30" fillId="8" borderId="0" applyNumberFormat="0" applyBorder="0" applyAlignment="0" applyProtection="0"/>
    <xf numFmtId="0" fontId="71" fillId="0" borderId="3" applyNumberFormat="0" applyFill="0" applyAlignment="0" applyProtection="0"/>
    <xf numFmtId="0" fontId="52" fillId="0" borderId="4" applyNumberFormat="0" applyFill="0" applyAlignment="0" applyProtection="0"/>
    <xf numFmtId="0" fontId="59" fillId="0" borderId="5" applyNumberFormat="0" applyFill="0" applyAlignment="0" applyProtection="0"/>
    <xf numFmtId="0" fontId="72" fillId="0" borderId="6" applyNumberFormat="0" applyFill="0" applyAlignment="0" applyProtection="0"/>
    <xf numFmtId="0" fontId="53" fillId="0" borderId="7" applyNumberFormat="0" applyFill="0" applyAlignment="0" applyProtection="0"/>
    <xf numFmtId="0" fontId="60" fillId="0" borderId="8" applyNumberFormat="0" applyFill="0" applyAlignment="0" applyProtection="0"/>
    <xf numFmtId="0" fontId="73" fillId="0" borderId="9" applyNumberFormat="0" applyFill="0" applyAlignment="0" applyProtection="0"/>
    <xf numFmtId="0" fontId="54" fillId="0" borderId="10" applyNumberFormat="0" applyFill="0" applyAlignment="0" applyProtection="0"/>
    <xf numFmtId="0" fontId="61" fillId="0" borderId="11" applyNumberFormat="0" applyFill="0" applyAlignment="0" applyProtection="0"/>
    <xf numFmtId="0" fontId="7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5" fontId="44" fillId="0" borderId="0">
      <protection locked="0"/>
    </xf>
    <xf numFmtId="175" fontId="44" fillId="0" borderId="0">
      <protection locked="0"/>
    </xf>
    <xf numFmtId="0" fontId="45" fillId="47" borderId="0"/>
    <xf numFmtId="0" fontId="46" fillId="1" borderId="0"/>
    <xf numFmtId="0" fontId="47" fillId="0" borderId="0"/>
    <xf numFmtId="0" fontId="11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27" fillId="21" borderId="1" applyNumberFormat="0" applyAlignment="0" applyProtection="0"/>
    <xf numFmtId="0" fontId="27" fillId="12" borderId="1" applyNumberFormat="0" applyAlignment="0" applyProtection="0"/>
    <xf numFmtId="0" fontId="74" fillId="21" borderId="1" applyNumberFormat="0" applyAlignment="0" applyProtection="0"/>
    <xf numFmtId="0" fontId="27" fillId="31" borderId="1" applyNumberFormat="0" applyAlignment="0" applyProtection="0"/>
    <xf numFmtId="0" fontId="28" fillId="45" borderId="12" applyNumberFormat="0" applyAlignment="0" applyProtection="0"/>
    <xf numFmtId="0" fontId="28" fillId="16" borderId="12" applyNumberFormat="0" applyAlignment="0" applyProtection="0"/>
    <xf numFmtId="0" fontId="4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13" applyNumberFormat="0" applyFill="0" applyAlignment="0" applyProtection="0"/>
    <xf numFmtId="175" fontId="42" fillId="0" borderId="14">
      <protection locked="0"/>
    </xf>
    <xf numFmtId="0" fontId="30" fillId="15" borderId="0" applyNumberFormat="0" applyBorder="0" applyAlignment="0" applyProtection="0"/>
    <xf numFmtId="0" fontId="75" fillId="0" borderId="15" applyNumberFormat="0" applyFill="0" applyAlignment="0" applyProtection="0"/>
    <xf numFmtId="0" fontId="26" fillId="0" borderId="16" applyNumberFormat="0" applyFill="0" applyAlignment="0" applyProtection="0"/>
    <xf numFmtId="0" fontId="84" fillId="0" borderId="17">
      <alignment vertical="top" wrapText="1"/>
    </xf>
    <xf numFmtId="0" fontId="31" fillId="48" borderId="0" applyNumberFormat="0" applyBorder="0" applyAlignment="0" applyProtection="0"/>
    <xf numFmtId="0" fontId="31" fillId="31" borderId="0" applyNumberFormat="0" applyBorder="0" applyAlignment="0" applyProtection="0"/>
    <xf numFmtId="0" fontId="76" fillId="48" borderId="0" applyNumberFormat="0" applyBorder="0" applyAlignment="0" applyProtection="0"/>
    <xf numFmtId="0" fontId="104" fillId="31" borderId="0" applyNumberFormat="0" applyBorder="0" applyAlignment="0" applyProtection="0"/>
    <xf numFmtId="0" fontId="2" fillId="0" borderId="0"/>
    <xf numFmtId="0" fontId="2" fillId="0" borderId="0"/>
    <xf numFmtId="0" fontId="5" fillId="0" borderId="0"/>
    <xf numFmtId="0" fontId="65" fillId="0" borderId="0"/>
    <xf numFmtId="0" fontId="2" fillId="0" borderId="0"/>
    <xf numFmtId="0" fontId="65" fillId="0" borderId="0"/>
    <xf numFmtId="0" fontId="5" fillId="0" borderId="0"/>
    <xf numFmtId="0" fontId="113" fillId="0" borderId="0"/>
    <xf numFmtId="0" fontId="2" fillId="0" borderId="0">
      <alignment vertical="center" wrapText="1"/>
    </xf>
    <xf numFmtId="0" fontId="113" fillId="0" borderId="0"/>
    <xf numFmtId="0" fontId="2" fillId="0" borderId="0"/>
    <xf numFmtId="0" fontId="5" fillId="0" borderId="0"/>
    <xf numFmtId="0" fontId="114" fillId="0" borderId="0"/>
    <xf numFmtId="0" fontId="113" fillId="0" borderId="0"/>
    <xf numFmtId="0" fontId="114" fillId="0" borderId="0"/>
    <xf numFmtId="0" fontId="1" fillId="0" borderId="0"/>
    <xf numFmtId="0" fontId="113" fillId="0" borderId="0"/>
    <xf numFmtId="0" fontId="1" fillId="0" borderId="0"/>
    <xf numFmtId="0" fontId="117" fillId="0" borderId="0"/>
    <xf numFmtId="0" fontId="5" fillId="0" borderId="0"/>
    <xf numFmtId="0" fontId="23" fillId="0" borderId="0"/>
    <xf numFmtId="0" fontId="2" fillId="0" borderId="0"/>
    <xf numFmtId="0" fontId="5" fillId="0" borderId="0"/>
    <xf numFmtId="0" fontId="2" fillId="0" borderId="0"/>
    <xf numFmtId="0" fontId="11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>
      <alignment vertical="center" wrapText="1"/>
    </xf>
    <xf numFmtId="0" fontId="11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49" borderId="0">
      <alignment vertical="center" wrapText="1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9" borderId="0">
      <alignment vertical="center" wrapText="1"/>
    </xf>
    <xf numFmtId="0" fontId="48" fillId="0" borderId="0"/>
    <xf numFmtId="0" fontId="2" fillId="0" borderId="0">
      <alignment vertical="center" wrapText="1"/>
    </xf>
    <xf numFmtId="0" fontId="7" fillId="0" borderId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4" fillId="0" borderId="0"/>
    <xf numFmtId="0" fontId="7" fillId="0" borderId="0"/>
    <xf numFmtId="0" fontId="1" fillId="0" borderId="0"/>
    <xf numFmtId="0" fontId="1" fillId="0" borderId="0"/>
    <xf numFmtId="0" fontId="14" fillId="0" borderId="0"/>
    <xf numFmtId="0" fontId="7" fillId="0" borderId="0"/>
    <xf numFmtId="0" fontId="1" fillId="0" borderId="0"/>
    <xf numFmtId="0" fontId="1" fillId="0" borderId="0"/>
    <xf numFmtId="0" fontId="1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82" fillId="0" borderId="0"/>
    <xf numFmtId="0" fontId="7" fillId="0" borderId="0"/>
    <xf numFmtId="0" fontId="113" fillId="0" borderId="0"/>
    <xf numFmtId="0" fontId="114" fillId="0" borderId="0"/>
    <xf numFmtId="0" fontId="114" fillId="0" borderId="0"/>
    <xf numFmtId="0" fontId="5" fillId="0" borderId="0"/>
    <xf numFmtId="0" fontId="1" fillId="0" borderId="0"/>
    <xf numFmtId="0" fontId="2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81" fillId="0" borderId="0">
      <alignment vertical="top"/>
    </xf>
    <xf numFmtId="0" fontId="62" fillId="0" borderId="0"/>
    <xf numFmtId="0" fontId="113" fillId="0" borderId="0"/>
    <xf numFmtId="0" fontId="2" fillId="0" borderId="0"/>
    <xf numFmtId="0" fontId="6" fillId="0" borderId="0" applyNumberFormat="0" applyBorder="0" applyProtection="0"/>
    <xf numFmtId="0" fontId="2" fillId="0" borderId="0"/>
    <xf numFmtId="0" fontId="118" fillId="0" borderId="0"/>
    <xf numFmtId="0" fontId="63" fillId="0" borderId="0"/>
    <xf numFmtId="0" fontId="2" fillId="49" borderId="0">
      <alignment vertical="center" wrapText="1"/>
    </xf>
    <xf numFmtId="0" fontId="5" fillId="0" borderId="0"/>
    <xf numFmtId="0" fontId="2" fillId="0" borderId="0"/>
    <xf numFmtId="0" fontId="1" fillId="0" borderId="0"/>
    <xf numFmtId="0" fontId="56" fillId="0" borderId="0"/>
    <xf numFmtId="0" fontId="2" fillId="0" borderId="0"/>
    <xf numFmtId="0" fontId="56" fillId="0" borderId="0"/>
    <xf numFmtId="0" fontId="1" fillId="0" borderId="0"/>
    <xf numFmtId="0" fontId="56" fillId="0" borderId="0"/>
    <xf numFmtId="0" fontId="5" fillId="0" borderId="0"/>
    <xf numFmtId="0" fontId="58" fillId="0" borderId="0"/>
    <xf numFmtId="0" fontId="2" fillId="0" borderId="0"/>
    <xf numFmtId="0" fontId="114" fillId="0" borderId="0"/>
    <xf numFmtId="0" fontId="118" fillId="0" borderId="0"/>
    <xf numFmtId="0" fontId="58" fillId="0" borderId="0"/>
    <xf numFmtId="0" fontId="114" fillId="0" borderId="0"/>
    <xf numFmtId="0" fontId="2" fillId="0" borderId="0"/>
    <xf numFmtId="0" fontId="7" fillId="0" borderId="0"/>
    <xf numFmtId="0" fontId="23" fillId="0" borderId="0"/>
    <xf numFmtId="0" fontId="102" fillId="0" borderId="0"/>
    <xf numFmtId="0" fontId="2" fillId="0" borderId="0"/>
    <xf numFmtId="0" fontId="23" fillId="0" borderId="0"/>
    <xf numFmtId="0" fontId="114" fillId="0" borderId="0"/>
    <xf numFmtId="0" fontId="2" fillId="0" borderId="0"/>
    <xf numFmtId="0" fontId="114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3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17" borderId="18" applyNumberFormat="0" applyFont="0" applyAlignment="0" applyProtection="0"/>
    <xf numFmtId="0" fontId="2" fillId="50" borderId="18" applyNumberFormat="0" applyAlignment="0" applyProtection="0"/>
    <xf numFmtId="0" fontId="2" fillId="17" borderId="18" applyNumberFormat="0" applyFont="0" applyAlignment="0" applyProtection="0"/>
    <xf numFmtId="3" fontId="85" fillId="0" borderId="0" applyNumberFormat="0">
      <alignment horizontal="center"/>
    </xf>
    <xf numFmtId="0" fontId="77" fillId="45" borderId="12" applyNumberFormat="0" applyAlignment="0" applyProtection="0"/>
    <xf numFmtId="0" fontId="28" fillId="16" borderId="12" applyNumberFormat="0" applyAlignment="0" applyProtection="0"/>
    <xf numFmtId="0" fontId="2" fillId="0" borderId="0"/>
    <xf numFmtId="0" fontId="2" fillId="0" borderId="0"/>
    <xf numFmtId="0" fontId="119" fillId="0" borderId="0"/>
    <xf numFmtId="0" fontId="119" fillId="0" borderId="0"/>
    <xf numFmtId="0" fontId="2" fillId="0" borderId="0"/>
    <xf numFmtId="0" fontId="2" fillId="0" borderId="0"/>
    <xf numFmtId="0" fontId="3" fillId="0" borderId="0"/>
    <xf numFmtId="0" fontId="7" fillId="0" borderId="0"/>
    <xf numFmtId="0" fontId="113" fillId="0" borderId="0"/>
    <xf numFmtId="0" fontId="5" fillId="51" borderId="0">
      <alignment vertical="center" wrapText="1"/>
    </xf>
    <xf numFmtId="0" fontId="23" fillId="0" borderId="0">
      <alignment vertical="top"/>
    </xf>
    <xf numFmtId="0" fontId="2" fillId="0" borderId="0"/>
    <xf numFmtId="0" fontId="2" fillId="49" borderId="0">
      <alignment vertical="center" wrapText="1"/>
    </xf>
    <xf numFmtId="0" fontId="2" fillId="49" borderId="0">
      <alignment vertical="center" wrapText="1"/>
    </xf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1" fillId="0" borderId="0"/>
    <xf numFmtId="0" fontId="34" fillId="46" borderId="2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50" borderId="18" applyNumberFormat="0" applyAlignment="0" applyProtection="0"/>
    <xf numFmtId="0" fontId="50" fillId="0" borderId="0"/>
    <xf numFmtId="9" fontId="1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11" borderId="0" applyNumberFormat="0" applyBorder="0" applyAlignment="0" applyProtection="0"/>
    <xf numFmtId="0" fontId="2" fillId="52" borderId="0"/>
    <xf numFmtId="0" fontId="3" fillId="0" borderId="0"/>
    <xf numFmtId="0" fontId="6" fillId="0" borderId="0" applyNumberFormat="0" applyBorder="0" applyProtection="0"/>
    <xf numFmtId="0" fontId="2" fillId="0" borderId="0"/>
    <xf numFmtId="0" fontId="3" fillId="0" borderId="0"/>
    <xf numFmtId="0" fontId="7" fillId="0" borderId="0"/>
    <xf numFmtId="0" fontId="5" fillId="0" borderId="0"/>
    <xf numFmtId="0" fontId="7" fillId="0" borderId="0"/>
    <xf numFmtId="0" fontId="2" fillId="0" borderId="0"/>
    <xf numFmtId="0" fontId="3" fillId="0" borderId="0"/>
    <xf numFmtId="0" fontId="3" fillId="0" borderId="0"/>
    <xf numFmtId="0" fontId="7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9" fillId="0" borderId="13" applyNumberFormat="0" applyFill="0" applyAlignment="0" applyProtection="0"/>
    <xf numFmtId="175" fontId="42" fillId="0" borderId="14">
      <protection locked="0"/>
    </xf>
    <xf numFmtId="0" fontId="79" fillId="0" borderId="13" applyNumberFormat="0" applyFill="0" applyAlignment="0" applyProtection="0"/>
    <xf numFmtId="0" fontId="29" fillId="0" borderId="19" applyNumberFormat="0" applyFill="0" applyAlignment="0" applyProtection="0"/>
    <xf numFmtId="176" fontId="51" fillId="0" borderId="0">
      <alignment horizontal="left"/>
    </xf>
    <xf numFmtId="0" fontId="37" fillId="0" borderId="3" applyNumberFormat="0" applyFill="0" applyAlignment="0" applyProtection="0"/>
    <xf numFmtId="0" fontId="38" fillId="0" borderId="6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86" fillId="42" borderId="0" applyNumberFormat="0" applyBorder="0" applyAlignment="0" applyProtection="0"/>
    <xf numFmtId="0" fontId="86" fillId="42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6" fillId="35" borderId="0" applyNumberFormat="0" applyBorder="0" applyAlignment="0" applyProtection="0"/>
    <xf numFmtId="0" fontId="86" fillId="35" borderId="0" applyNumberFormat="0" applyBorder="0" applyAlignment="0" applyProtection="0"/>
    <xf numFmtId="0" fontId="27" fillId="12" borderId="1" applyNumberFormat="0" applyAlignment="0" applyProtection="0"/>
    <xf numFmtId="0" fontId="27" fillId="12" borderId="1" applyNumberFormat="0" applyAlignment="0" applyProtection="0"/>
    <xf numFmtId="0" fontId="87" fillId="12" borderId="1" applyNumberFormat="0" applyAlignment="0" applyProtection="0"/>
    <xf numFmtId="0" fontId="87" fillId="12" borderId="1" applyNumberFormat="0" applyAlignment="0" applyProtection="0"/>
    <xf numFmtId="0" fontId="28" fillId="30" borderId="12" applyNumberFormat="0" applyAlignment="0" applyProtection="0"/>
    <xf numFmtId="0" fontId="28" fillId="30" borderId="12" applyNumberFormat="0" applyAlignment="0" applyProtection="0"/>
    <xf numFmtId="0" fontId="88" fillId="30" borderId="12" applyNumberFormat="0" applyAlignment="0" applyProtection="0"/>
    <xf numFmtId="0" fontId="88" fillId="30" borderId="12" applyNumberFormat="0" applyAlignment="0" applyProtection="0"/>
    <xf numFmtId="0" fontId="25" fillId="30" borderId="1" applyNumberFormat="0" applyAlignment="0" applyProtection="0"/>
    <xf numFmtId="0" fontId="25" fillId="30" borderId="1" applyNumberFormat="0" applyAlignment="0" applyProtection="0"/>
    <xf numFmtId="0" fontId="89" fillId="30" borderId="1" applyNumberFormat="0" applyAlignment="0" applyProtection="0"/>
    <xf numFmtId="0" fontId="89" fillId="30" borderId="1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9" fillId="0" borderId="5" applyNumberFormat="0" applyFill="0" applyAlignment="0" applyProtection="0"/>
    <xf numFmtId="0" fontId="59" fillId="0" borderId="5" applyNumberFormat="0" applyFill="0" applyAlignment="0" applyProtection="0"/>
    <xf numFmtId="0" fontId="90" fillId="0" borderId="3" applyNumberFormat="0" applyFill="0" applyAlignment="0" applyProtection="0"/>
    <xf numFmtId="0" fontId="90" fillId="0" borderId="3" applyNumberFormat="0" applyFill="0" applyAlignment="0" applyProtection="0"/>
    <xf numFmtId="0" fontId="60" fillId="0" borderId="8" applyNumberFormat="0" applyFill="0" applyAlignment="0" applyProtection="0"/>
    <xf numFmtId="0" fontId="60" fillId="0" borderId="8" applyNumberFormat="0" applyFill="0" applyAlignment="0" applyProtection="0"/>
    <xf numFmtId="0" fontId="91" fillId="0" borderId="6" applyNumberFormat="0" applyFill="0" applyAlignment="0" applyProtection="0"/>
    <xf numFmtId="0" fontId="91" fillId="0" borderId="6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92" fillId="0" borderId="9" applyNumberFormat="0" applyFill="0" applyAlignment="0" applyProtection="0"/>
    <xf numFmtId="0" fontId="92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93" fillId="0" borderId="13" applyNumberFormat="0" applyFill="0" applyAlignment="0" applyProtection="0"/>
    <xf numFmtId="0" fontId="93" fillId="0" borderId="13" applyNumberFormat="0" applyFill="0" applyAlignment="0" applyProtection="0"/>
    <xf numFmtId="0" fontId="34" fillId="44" borderId="2" applyNumberFormat="0" applyAlignment="0" applyProtection="0"/>
    <xf numFmtId="0" fontId="34" fillId="44" borderId="2" applyNumberFormat="0" applyAlignment="0" applyProtection="0"/>
    <xf numFmtId="0" fontId="94" fillId="44" borderId="2" applyNumberFormat="0" applyAlignment="0" applyProtection="0"/>
    <xf numFmtId="0" fontId="94" fillId="44" borderId="2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1" fillId="31" borderId="0" applyNumberFormat="0" applyBorder="0" applyAlignment="0" applyProtection="0"/>
    <xf numFmtId="0" fontId="120" fillId="54" borderId="0" applyNumberFormat="0" applyBorder="0" applyAlignment="0" applyProtection="0"/>
    <xf numFmtId="0" fontId="5" fillId="55" borderId="20" applyNumberFormat="0" applyAlignment="0" applyProtection="0"/>
    <xf numFmtId="0" fontId="31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114" fillId="0" borderId="0"/>
    <xf numFmtId="0" fontId="114" fillId="0" borderId="0"/>
    <xf numFmtId="0" fontId="2" fillId="0" borderId="0"/>
    <xf numFmtId="0" fontId="105" fillId="0" borderId="0">
      <alignment horizontal="left"/>
    </xf>
    <xf numFmtId="0" fontId="5" fillId="0" borderId="0"/>
    <xf numFmtId="0" fontId="113" fillId="0" borderId="0"/>
    <xf numFmtId="0" fontId="5" fillId="0" borderId="0"/>
    <xf numFmtId="0" fontId="2" fillId="0" borderId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97" fillId="10" borderId="0" applyNumberFormat="0" applyBorder="0" applyAlignment="0" applyProtection="0"/>
    <xf numFmtId="0" fontId="97" fillId="10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" fillId="17" borderId="18" applyNumberFormat="0" applyFont="0" applyAlignment="0" applyProtection="0"/>
    <xf numFmtId="9" fontId="56" fillId="0" borderId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99" fillId="0" borderId="15" applyNumberFormat="0" applyFill="0" applyAlignment="0" applyProtection="0"/>
    <xf numFmtId="0" fontId="99" fillId="0" borderId="15" applyNumberFormat="0" applyFill="0" applyAlignment="0" applyProtection="0"/>
    <xf numFmtId="0" fontId="3" fillId="0" borderId="0"/>
    <xf numFmtId="0" fontId="2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0" fontId="56" fillId="0" borderId="0" applyFill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101" fillId="14" borderId="0" applyNumberFormat="0" applyBorder="0" applyAlignment="0" applyProtection="0"/>
    <xf numFmtId="0" fontId="101" fillId="14" borderId="0" applyNumberFormat="0" applyBorder="0" applyAlignment="0" applyProtection="0"/>
    <xf numFmtId="0" fontId="133" fillId="0" borderId="0"/>
  </cellStyleXfs>
  <cellXfs count="438">
    <xf numFmtId="0" fontId="0" fillId="0" borderId="0" xfId="0"/>
    <xf numFmtId="0" fontId="122" fillId="0" borderId="0" xfId="0" applyFont="1"/>
    <xf numFmtId="0" fontId="121" fillId="0" borderId="0" xfId="0" applyFont="1"/>
    <xf numFmtId="0" fontId="9" fillId="0" borderId="0" xfId="1448" applyFont="1"/>
    <xf numFmtId="0" fontId="8" fillId="0" borderId="0" xfId="1448" applyFont="1"/>
    <xf numFmtId="0" fontId="8" fillId="0" borderId="0" xfId="1448" applyFont="1" applyAlignment="1">
      <alignment horizontal="right"/>
    </xf>
    <xf numFmtId="0" fontId="8" fillId="0" borderId="0" xfId="1448" applyFont="1" applyAlignment="1">
      <alignment horizontal="center" vertical="top"/>
    </xf>
    <xf numFmtId="0" fontId="123" fillId="0" borderId="0" xfId="0" applyFont="1"/>
    <xf numFmtId="0" fontId="123" fillId="0" borderId="0" xfId="1449" applyFont="1"/>
    <xf numFmtId="0" fontId="12" fillId="0" borderId="0" xfId="1449" applyFont="1" applyAlignment="1">
      <alignment horizontal="left"/>
    </xf>
    <xf numFmtId="0" fontId="8" fillId="0" borderId="17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right" vertical="center" wrapText="1"/>
    </xf>
    <xf numFmtId="0" fontId="12" fillId="56" borderId="17" xfId="1449" applyFont="1" applyFill="1" applyBorder="1" applyAlignment="1">
      <alignment horizontal="right" vertical="center"/>
    </xf>
    <xf numFmtId="0" fontId="123" fillId="0" borderId="0" xfId="0" applyFont="1" applyAlignment="1">
      <alignment horizontal="center" vertical="center"/>
    </xf>
    <xf numFmtId="49" fontId="123" fillId="0" borderId="0" xfId="0" applyNumberFormat="1" applyFont="1" applyAlignment="1">
      <alignment horizontal="center" vertical="center"/>
    </xf>
    <xf numFmtId="0" fontId="8" fillId="0" borderId="0" xfId="0" applyFont="1"/>
    <xf numFmtId="0" fontId="124" fillId="0" borderId="0" xfId="0" applyFont="1"/>
    <xf numFmtId="0" fontId="7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4" fillId="0" borderId="21" xfId="0" applyFont="1" applyBorder="1"/>
    <xf numFmtId="0" fontId="17" fillId="0" borderId="0" xfId="0" applyFont="1" applyAlignment="1">
      <alignment horizontal="center" vertical="center"/>
    </xf>
    <xf numFmtId="0" fontId="14" fillId="0" borderId="0" xfId="1478" applyFont="1" applyAlignment="1">
      <alignment horizontal="left" vertical="top" wrapText="1"/>
    </xf>
    <xf numFmtId="0" fontId="19" fillId="0" borderId="0" xfId="0" applyFont="1"/>
    <xf numFmtId="167" fontId="18" fillId="0" borderId="0" xfId="1429" applyNumberFormat="1" applyFont="1" applyAlignment="1">
      <alignment horizontal="center" vertical="center" wrapText="1"/>
    </xf>
    <xf numFmtId="166" fontId="14" fillId="0" borderId="0" xfId="0" applyNumberFormat="1" applyFont="1"/>
    <xf numFmtId="0" fontId="18" fillId="0" borderId="0" xfId="0" applyFont="1"/>
    <xf numFmtId="0" fontId="17" fillId="0" borderId="0" xfId="1429" applyFont="1"/>
    <xf numFmtId="166" fontId="17" fillId="0" borderId="0" xfId="1429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4" fillId="0" borderId="0" xfId="0" applyNumberFormat="1" applyFont="1" applyAlignment="1">
      <alignment vertical="center"/>
    </xf>
    <xf numFmtId="166" fontId="18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21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/>
    <xf numFmtId="0" fontId="22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0" xfId="1584" applyFont="1" applyAlignment="1">
      <alignment horizontal="left" vertical="center" wrapText="1"/>
    </xf>
    <xf numFmtId="2" fontId="106" fillId="0" borderId="22" xfId="1472" applyNumberFormat="1" applyFont="1" applyFill="1" applyBorder="1" applyAlignment="1" applyProtection="1">
      <alignment horizontal="right" vertical="center"/>
    </xf>
    <xf numFmtId="2" fontId="106" fillId="0" borderId="23" xfId="1472" applyNumberFormat="1" applyFont="1" applyFill="1" applyBorder="1" applyAlignment="1" applyProtection="1">
      <alignment horizontal="right" vertical="center"/>
    </xf>
    <xf numFmtId="2" fontId="14" fillId="0" borderId="23" xfId="0" applyNumberFormat="1" applyFont="1" applyBorder="1" applyAlignment="1">
      <alignment horizontal="right" vertical="center"/>
    </xf>
    <xf numFmtId="2" fontId="122" fillId="0" borderId="0" xfId="0" applyNumberFormat="1" applyFont="1"/>
    <xf numFmtId="2" fontId="15" fillId="0" borderId="0" xfId="0" applyNumberFormat="1" applyFont="1" applyAlignment="1">
      <alignment horizontal="center" vertical="center" wrapText="1"/>
    </xf>
    <xf numFmtId="4" fontId="123" fillId="0" borderId="0" xfId="0" applyNumberFormat="1" applyFont="1"/>
    <xf numFmtId="2" fontId="123" fillId="0" borderId="0" xfId="0" applyNumberFormat="1" applyFont="1"/>
    <xf numFmtId="9" fontId="8" fillId="0" borderId="17" xfId="1429" applyNumberFormat="1" applyFont="1" applyBorder="1" applyAlignment="1">
      <alignment horizontal="right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125" fillId="0" borderId="17" xfId="0" applyFont="1" applyBorder="1"/>
    <xf numFmtId="0" fontId="125" fillId="0" borderId="17" xfId="0" applyFont="1" applyBorder="1" applyAlignment="1">
      <alignment vertical="center"/>
    </xf>
    <xf numFmtId="0" fontId="125" fillId="0" borderId="17" xfId="0" applyFont="1" applyBorder="1" applyAlignment="1">
      <alignment horizontal="center" vertical="center"/>
    </xf>
    <xf numFmtId="2" fontId="8" fillId="57" borderId="17" xfId="0" applyNumberFormat="1" applyFont="1" applyFill="1" applyBorder="1" applyAlignment="1">
      <alignment horizontal="right" vertical="center"/>
    </xf>
    <xf numFmtId="2" fontId="8" fillId="0" borderId="17" xfId="0" applyNumberFormat="1" applyFont="1" applyBorder="1" applyAlignment="1">
      <alignment horizontal="right" vertical="center"/>
    </xf>
    <xf numFmtId="4" fontId="8" fillId="0" borderId="17" xfId="1479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2" fontId="8" fillId="57" borderId="17" xfId="0" applyNumberFormat="1" applyFont="1" applyFill="1" applyBorder="1" applyAlignment="1">
      <alignment horizontal="center" vertical="center" wrapText="1"/>
    </xf>
    <xf numFmtId="2" fontId="123" fillId="57" borderId="17" xfId="0" applyNumberFormat="1" applyFont="1" applyFill="1" applyBorder="1" applyAlignment="1">
      <alignment horizontal="right" vertical="center"/>
    </xf>
    <xf numFmtId="2" fontId="123" fillId="0" borderId="17" xfId="0" applyNumberFormat="1" applyFont="1" applyBorder="1" applyAlignment="1">
      <alignment horizontal="right" vertical="center"/>
    </xf>
    <xf numFmtId="2" fontId="8" fillId="0" borderId="17" xfId="221" applyNumberFormat="1" applyFont="1" applyFill="1" applyBorder="1" applyAlignment="1">
      <alignment horizontal="right" vertical="center"/>
    </xf>
    <xf numFmtId="0" fontId="123" fillId="0" borderId="17" xfId="0" applyFont="1" applyBorder="1" applyAlignment="1">
      <alignment horizontal="center" vertical="center"/>
    </xf>
    <xf numFmtId="0" fontId="123" fillId="0" borderId="17" xfId="0" applyFont="1" applyBorder="1" applyAlignment="1">
      <alignment vertical="center"/>
    </xf>
    <xf numFmtId="0" fontId="8" fillId="57" borderId="17" xfId="1448" applyFont="1" applyFill="1" applyBorder="1" applyAlignment="1">
      <alignment horizontal="left" vertical="center" wrapText="1"/>
    </xf>
    <xf numFmtId="0" fontId="8" fillId="57" borderId="17" xfId="1448" applyFont="1" applyFill="1" applyBorder="1" applyAlignment="1">
      <alignment horizontal="center" vertical="center" wrapText="1"/>
    </xf>
    <xf numFmtId="2" fontId="8" fillId="57" borderId="17" xfId="1448" applyNumberFormat="1" applyFont="1" applyFill="1" applyBorder="1" applyAlignment="1">
      <alignment horizontal="right" vertical="center" wrapText="1"/>
    </xf>
    <xf numFmtId="2" fontId="8" fillId="0" borderId="17" xfId="1448" applyNumberFormat="1" applyFont="1" applyBorder="1" applyAlignment="1">
      <alignment horizontal="right" vertical="center" wrapText="1"/>
    </xf>
    <xf numFmtId="2" fontId="126" fillId="57" borderId="17" xfId="0" applyNumberFormat="1" applyFont="1" applyFill="1" applyBorder="1" applyAlignment="1">
      <alignment horizontal="right" vertical="center"/>
    </xf>
    <xf numFmtId="0" fontId="9" fillId="0" borderId="17" xfId="1255" applyFont="1" applyBorder="1" applyAlignment="1">
      <alignment horizontal="center" vertical="center" wrapText="1"/>
    </xf>
    <xf numFmtId="2" fontId="8" fillId="0" borderId="17" xfId="1479" applyNumberFormat="1" applyFont="1" applyBorder="1" applyAlignment="1">
      <alignment horizontal="right" vertical="center" shrinkToFit="1"/>
    </xf>
    <xf numFmtId="2" fontId="8" fillId="57" borderId="17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vertical="top" wrapText="1"/>
    </xf>
    <xf numFmtId="0" fontId="123" fillId="57" borderId="17" xfId="1448" applyFont="1" applyFill="1" applyBorder="1" applyAlignment="1">
      <alignment vertical="center" wrapText="1"/>
    </xf>
    <xf numFmtId="2" fontId="123" fillId="57" borderId="17" xfId="1448" applyNumberFormat="1" applyFont="1" applyFill="1" applyBorder="1" applyAlignment="1">
      <alignment horizontal="right" vertical="center" wrapText="1"/>
    </xf>
    <xf numFmtId="0" fontId="123" fillId="56" borderId="17" xfId="1430" applyFont="1" applyFill="1" applyBorder="1" applyAlignment="1">
      <alignment vertical="center" wrapText="1"/>
    </xf>
    <xf numFmtId="0" fontId="123" fillId="57" borderId="17" xfId="0" applyFont="1" applyFill="1" applyBorder="1" applyAlignment="1">
      <alignment horizontal="center" vertical="center" wrapText="1"/>
    </xf>
    <xf numFmtId="2" fontId="123" fillId="57" borderId="17" xfId="0" applyNumberFormat="1" applyFont="1" applyFill="1" applyBorder="1" applyAlignment="1">
      <alignment vertical="center"/>
    </xf>
    <xf numFmtId="2" fontId="8" fillId="0" borderId="17" xfId="1449" applyNumberFormat="1" applyFont="1" applyBorder="1" applyAlignment="1">
      <alignment horizontal="right" vertical="center" wrapText="1"/>
    </xf>
    <xf numFmtId="0" fontId="8" fillId="0" borderId="17" xfId="1449" applyFont="1" applyBorder="1" applyAlignment="1">
      <alignment horizontal="left" vertical="center" wrapText="1"/>
    </xf>
    <xf numFmtId="183" fontId="8" fillId="0" borderId="17" xfId="0" applyNumberFormat="1" applyFont="1" applyBorder="1" applyAlignment="1">
      <alignment vertical="top" wrapText="1"/>
    </xf>
    <xf numFmtId="0" fontId="8" fillId="57" borderId="17" xfId="1448" applyFont="1" applyFill="1" applyBorder="1" applyAlignment="1">
      <alignment horizontal="left" vertical="top" wrapText="1"/>
    </xf>
    <xf numFmtId="0" fontId="9" fillId="0" borderId="17" xfId="1255" applyFont="1" applyBorder="1" applyAlignment="1">
      <alignment horizontal="left" vertical="center" wrapText="1"/>
    </xf>
    <xf numFmtId="2" fontId="8" fillId="0" borderId="17" xfId="0" applyNumberFormat="1" applyFont="1" applyBorder="1" applyAlignment="1">
      <alignment horizontal="right" vertical="center" shrinkToFit="1"/>
    </xf>
    <xf numFmtId="2" fontId="123" fillId="0" borderId="17" xfId="0" applyNumberFormat="1" applyFont="1" applyBorder="1" applyAlignment="1">
      <alignment horizontal="right" vertical="center" wrapText="1"/>
    </xf>
    <xf numFmtId="1" fontId="8" fillId="0" borderId="17" xfId="0" applyNumberFormat="1" applyFont="1" applyBorder="1" applyAlignment="1">
      <alignment horizontal="right" vertical="center"/>
    </xf>
    <xf numFmtId="0" fontId="108" fillId="0" borderId="17" xfId="1255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7" xfId="1479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right" vertical="center"/>
    </xf>
    <xf numFmtId="4" fontId="127" fillId="0" borderId="0" xfId="1479" applyNumberFormat="1" applyFont="1" applyAlignment="1">
      <alignment horizontal="right" vertical="center"/>
    </xf>
    <xf numFmtId="177" fontId="110" fillId="0" borderId="0" xfId="269" applyNumberFormat="1" applyFont="1" applyFill="1" applyBorder="1" applyAlignment="1">
      <alignment vertical="center"/>
    </xf>
    <xf numFmtId="2" fontId="8" fillId="0" borderId="0" xfId="1344" applyNumberFormat="1" applyFont="1" applyAlignment="1">
      <alignment vertical="center"/>
    </xf>
    <xf numFmtId="0" fontId="8" fillId="0" borderId="0" xfId="1344" applyFont="1" applyAlignment="1">
      <alignment vertical="center"/>
    </xf>
    <xf numFmtId="0" fontId="9" fillId="0" borderId="0" xfId="0" applyFont="1"/>
    <xf numFmtId="4" fontId="8" fillId="0" borderId="0" xfId="1378" applyNumberFormat="1" applyFont="1" applyAlignment="1">
      <alignment horizontal="right" vertical="center"/>
    </xf>
    <xf numFmtId="0" fontId="8" fillId="0" borderId="0" xfId="1378" applyFont="1" applyAlignment="1">
      <alignment vertical="center"/>
    </xf>
    <xf numFmtId="2" fontId="8" fillId="0" borderId="0" xfId="0" applyNumberFormat="1" applyFont="1" applyAlignment="1">
      <alignment horizontal="center" vertical="center" wrapText="1"/>
    </xf>
    <xf numFmtId="0" fontId="8" fillId="49" borderId="17" xfId="1448" applyFont="1" applyFill="1" applyBorder="1" applyAlignment="1">
      <alignment horizontal="center" vertical="center" wrapText="1"/>
    </xf>
    <xf numFmtId="0" fontId="8" fillId="49" borderId="17" xfId="1448" applyFont="1" applyFill="1" applyBorder="1" applyAlignment="1">
      <alignment horizontal="left" vertical="center" wrapText="1"/>
    </xf>
    <xf numFmtId="2" fontId="8" fillId="49" borderId="17" xfId="1448" applyNumberFormat="1" applyFont="1" applyFill="1" applyBorder="1" applyAlignment="1">
      <alignment horizontal="right" vertical="center" wrapText="1"/>
    </xf>
    <xf numFmtId="0" fontId="123" fillId="0" borderId="17" xfId="1449" applyFont="1" applyBorder="1" applyAlignment="1">
      <alignment vertical="center" wrapText="1"/>
    </xf>
    <xf numFmtId="1" fontId="9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3" fillId="0" borderId="0" xfId="0" applyFont="1" applyAlignment="1">
      <alignment horizontal="right"/>
    </xf>
    <xf numFmtId="2" fontId="12" fillId="57" borderId="0" xfId="0" applyNumberFormat="1" applyFont="1" applyFill="1" applyAlignment="1">
      <alignment horizontal="right" vertical="center" wrapText="1"/>
    </xf>
    <xf numFmtId="0" fontId="8" fillId="49" borderId="24" xfId="1448" applyFont="1" applyFill="1" applyBorder="1" applyAlignment="1">
      <alignment horizontal="center" vertical="center" wrapText="1"/>
    </xf>
    <xf numFmtId="0" fontId="8" fillId="49" borderId="17" xfId="1448" applyFont="1" applyFill="1" applyBorder="1" applyAlignment="1">
      <alignment horizontal="left" vertical="top" wrapText="1"/>
    </xf>
    <xf numFmtId="2" fontId="123" fillId="57" borderId="25" xfId="0" applyNumberFormat="1" applyFont="1" applyFill="1" applyBorder="1" applyAlignment="1">
      <alignment horizontal="right" vertical="center"/>
    </xf>
    <xf numFmtId="0" fontId="123" fillId="0" borderId="17" xfId="0" applyFont="1" applyBorder="1" applyAlignment="1">
      <alignment horizontal="right" vertical="center"/>
    </xf>
    <xf numFmtId="2" fontId="14" fillId="0" borderId="17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53" borderId="17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23" fillId="0" borderId="27" xfId="0" applyFont="1" applyBorder="1" applyAlignment="1">
      <alignment horizontal="center"/>
    </xf>
    <xf numFmtId="0" fontId="123" fillId="0" borderId="28" xfId="0" applyFont="1" applyBorder="1" applyAlignment="1">
      <alignment horizontal="center"/>
    </xf>
    <xf numFmtId="0" fontId="125" fillId="0" borderId="0" xfId="0" applyFont="1"/>
    <xf numFmtId="0" fontId="8" fillId="49" borderId="0" xfId="1448" applyFont="1" applyFill="1" applyAlignment="1">
      <alignment horizontal="left" vertical="center" wrapText="1"/>
    </xf>
    <xf numFmtId="2" fontId="8" fillId="49" borderId="0" xfId="1448" applyNumberFormat="1" applyFont="1" applyFill="1" applyAlignment="1">
      <alignment horizontal="right" vertical="center" wrapText="1"/>
    </xf>
    <xf numFmtId="2" fontId="123" fillId="0" borderId="0" xfId="0" applyNumberFormat="1" applyFont="1" applyAlignment="1">
      <alignment horizontal="right" vertical="center"/>
    </xf>
    <xf numFmtId="2" fontId="8" fillId="57" borderId="0" xfId="0" applyNumberFormat="1" applyFont="1" applyFill="1" applyAlignment="1">
      <alignment horizontal="right" vertical="center" wrapText="1"/>
    </xf>
    <xf numFmtId="2" fontId="123" fillId="57" borderId="0" xfId="0" applyNumberFormat="1" applyFont="1" applyFill="1" applyAlignment="1">
      <alignment horizontal="right" vertical="center"/>
    </xf>
    <xf numFmtId="0" fontId="8" fillId="49" borderId="0" xfId="1448" applyFont="1" applyFill="1" applyAlignment="1">
      <alignment horizontal="center" vertical="center" wrapText="1"/>
    </xf>
    <xf numFmtId="0" fontId="8" fillId="49" borderId="0" xfId="1448" applyFont="1" applyFill="1" applyAlignment="1">
      <alignment horizontal="left" vertical="top" wrapText="1"/>
    </xf>
    <xf numFmtId="0" fontId="8" fillId="0" borderId="29" xfId="0" applyFont="1" applyBorder="1" applyAlignment="1">
      <alignment horizontal="center" vertical="center" wrapText="1"/>
    </xf>
    <xf numFmtId="0" fontId="125" fillId="0" borderId="30" xfId="0" applyFont="1" applyBorder="1"/>
    <xf numFmtId="0" fontId="8" fillId="0" borderId="30" xfId="0" applyFont="1" applyBorder="1" applyAlignment="1">
      <alignment vertical="top" wrapText="1"/>
    </xf>
    <xf numFmtId="0" fontId="8" fillId="0" borderId="30" xfId="0" applyFont="1" applyBorder="1" applyAlignment="1">
      <alignment horizontal="center" vertical="center" wrapText="1"/>
    </xf>
    <xf numFmtId="2" fontId="123" fillId="0" borderId="30" xfId="0" applyNumberFormat="1" applyFont="1" applyBorder="1" applyAlignment="1">
      <alignment horizontal="right" vertical="center"/>
    </xf>
    <xf numFmtId="2" fontId="123" fillId="57" borderId="30" xfId="0" applyNumberFormat="1" applyFont="1" applyFill="1" applyBorder="1" applyAlignment="1">
      <alignment horizontal="right" vertical="center"/>
    </xf>
    <xf numFmtId="2" fontId="8" fillId="57" borderId="30" xfId="0" applyNumberFormat="1" applyFont="1" applyFill="1" applyBorder="1" applyAlignment="1">
      <alignment horizontal="right" vertical="center" wrapText="1"/>
    </xf>
    <xf numFmtId="2" fontId="8" fillId="0" borderId="30" xfId="0" applyNumberFormat="1" applyFont="1" applyBorder="1" applyAlignment="1">
      <alignment horizontal="right" vertical="center"/>
    </xf>
    <xf numFmtId="2" fontId="8" fillId="57" borderId="31" xfId="0" applyNumberFormat="1" applyFont="1" applyFill="1" applyBorder="1" applyAlignment="1">
      <alignment horizontal="right" vertical="center" wrapText="1"/>
    </xf>
    <xf numFmtId="0" fontId="8" fillId="0" borderId="24" xfId="0" applyFont="1" applyBorder="1" applyAlignment="1">
      <alignment horizontal="center" vertical="center" wrapText="1"/>
    </xf>
    <xf numFmtId="2" fontId="8" fillId="57" borderId="25" xfId="0" applyNumberFormat="1" applyFont="1" applyFill="1" applyBorder="1" applyAlignment="1">
      <alignment horizontal="right" vertical="center" wrapText="1"/>
    </xf>
    <xf numFmtId="2" fontId="12" fillId="57" borderId="27" xfId="0" applyNumberFormat="1" applyFont="1" applyFill="1" applyBorder="1" applyAlignment="1">
      <alignment horizontal="center" vertical="center" wrapText="1"/>
    </xf>
    <xf numFmtId="2" fontId="12" fillId="57" borderId="28" xfId="0" applyNumberFormat="1" applyFont="1" applyFill="1" applyBorder="1" applyAlignment="1">
      <alignment horizontal="center" vertical="center" wrapText="1"/>
    </xf>
    <xf numFmtId="2" fontId="8" fillId="57" borderId="30" xfId="0" applyNumberFormat="1" applyFont="1" applyFill="1" applyBorder="1" applyAlignment="1">
      <alignment horizontal="right" vertical="center"/>
    </xf>
    <xf numFmtId="2" fontId="8" fillId="0" borderId="25" xfId="0" applyNumberFormat="1" applyFont="1" applyBorder="1" applyAlignment="1">
      <alignment horizontal="right" vertical="center" wrapText="1"/>
    </xf>
    <xf numFmtId="2" fontId="12" fillId="57" borderId="27" xfId="0" applyNumberFormat="1" applyFont="1" applyFill="1" applyBorder="1" applyAlignment="1">
      <alignment horizontal="right" vertical="center" wrapText="1"/>
    </xf>
    <xf numFmtId="2" fontId="12" fillId="57" borderId="28" xfId="0" applyNumberFormat="1" applyFont="1" applyFill="1" applyBorder="1" applyAlignment="1">
      <alignment horizontal="right" vertical="center" wrapText="1"/>
    </xf>
    <xf numFmtId="2" fontId="123" fillId="57" borderId="31" xfId="0" applyNumberFormat="1" applyFont="1" applyFill="1" applyBorder="1" applyAlignment="1">
      <alignment horizontal="right" vertical="center"/>
    </xf>
    <xf numFmtId="2" fontId="8" fillId="0" borderId="25" xfId="0" applyNumberFormat="1" applyFont="1" applyBorder="1" applyAlignment="1">
      <alignment horizontal="right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3" fillId="0" borderId="30" xfId="0" applyFont="1" applyBorder="1" applyAlignment="1">
      <alignment horizontal="center"/>
    </xf>
    <xf numFmtId="0" fontId="123" fillId="0" borderId="31" xfId="0" applyFont="1" applyBorder="1" applyAlignment="1">
      <alignment horizontal="center"/>
    </xf>
    <xf numFmtId="2" fontId="8" fillId="0" borderId="25" xfId="1449" applyNumberFormat="1" applyFont="1" applyBorder="1" applyAlignment="1">
      <alignment horizontal="right" vertical="center" wrapText="1"/>
    </xf>
    <xf numFmtId="2" fontId="123" fillId="0" borderId="25" xfId="0" applyNumberFormat="1" applyFont="1" applyBorder="1" applyAlignment="1">
      <alignment horizontal="right" vertical="center"/>
    </xf>
    <xf numFmtId="2" fontId="8" fillId="57" borderId="25" xfId="0" applyNumberFormat="1" applyFont="1" applyFill="1" applyBorder="1" applyAlignment="1">
      <alignment horizontal="center" vertical="center" wrapText="1"/>
    </xf>
    <xf numFmtId="0" fontId="8" fillId="0" borderId="24" xfId="1479" quotePrefix="1" applyFont="1" applyBorder="1" applyAlignment="1">
      <alignment horizontal="center" vertical="center"/>
    </xf>
    <xf numFmtId="0" fontId="8" fillId="0" borderId="24" xfId="1479" applyFont="1" applyBorder="1" applyAlignment="1">
      <alignment horizontal="center" vertical="center"/>
    </xf>
    <xf numFmtId="2" fontId="8" fillId="0" borderId="17" xfId="0" applyNumberFormat="1" applyFont="1" applyBorder="1" applyAlignment="1">
      <alignment vertical="center" wrapText="1"/>
    </xf>
    <xf numFmtId="43" fontId="8" fillId="0" borderId="17" xfId="0" applyNumberFormat="1" applyFont="1" applyBorder="1" applyAlignment="1">
      <alignment horizontal="right" vertical="center" wrapText="1"/>
    </xf>
    <xf numFmtId="1" fontId="9" fillId="0" borderId="17" xfId="0" applyNumberFormat="1" applyFont="1" applyBorder="1" applyAlignment="1">
      <alignment horizontal="right" vertical="center"/>
    </xf>
    <xf numFmtId="0" fontId="123" fillId="0" borderId="17" xfId="0" applyFont="1" applyBorder="1"/>
    <xf numFmtId="0" fontId="123" fillId="0" borderId="30" xfId="0" applyFont="1" applyBorder="1"/>
    <xf numFmtId="0" fontId="123" fillId="0" borderId="31" xfId="0" applyFont="1" applyBorder="1"/>
    <xf numFmtId="0" fontId="128" fillId="0" borderId="0" xfId="0" applyFont="1"/>
    <xf numFmtId="2" fontId="124" fillId="0" borderId="0" xfId="0" applyNumberFormat="1" applyFont="1"/>
    <xf numFmtId="0" fontId="8" fillId="0" borderId="17" xfId="0" applyFont="1" applyBorder="1" applyAlignment="1">
      <alignment horizontal="left" vertical="top" wrapText="1"/>
    </xf>
    <xf numFmtId="168" fontId="8" fillId="57" borderId="17" xfId="0" applyNumberFormat="1" applyFont="1" applyFill="1" applyBorder="1" applyAlignment="1">
      <alignment horizontal="right" vertical="center" wrapText="1"/>
    </xf>
    <xf numFmtId="2" fontId="8" fillId="57" borderId="17" xfId="1448" applyNumberFormat="1" applyFont="1" applyFill="1" applyBorder="1" applyAlignment="1">
      <alignment horizontal="center" vertical="center" wrapText="1"/>
    </xf>
    <xf numFmtId="2" fontId="123" fillId="0" borderId="17" xfId="0" applyNumberFormat="1" applyFont="1" applyBorder="1" applyAlignment="1">
      <alignment vertical="center"/>
    </xf>
    <xf numFmtId="0" fontId="123" fillId="0" borderId="17" xfId="0" applyFont="1" applyBorder="1" applyAlignment="1">
      <alignment horizontal="center"/>
    </xf>
    <xf numFmtId="0" fontId="8" fillId="0" borderId="17" xfId="1431" applyFont="1" applyBorder="1" applyAlignment="1">
      <alignment horizontal="left" vertical="center" wrapText="1"/>
    </xf>
    <xf numFmtId="4" fontId="8" fillId="0" borderId="17" xfId="0" applyNumberFormat="1" applyFont="1" applyBorder="1" applyAlignment="1">
      <alignment horizontal="right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7" xfId="221" applyNumberFormat="1" applyFont="1" applyFill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right" vertical="center" wrapText="1"/>
    </xf>
    <xf numFmtId="0" fontId="8" fillId="53" borderId="17" xfId="0" applyFont="1" applyFill="1" applyBorder="1" applyAlignment="1">
      <alignment horizontal="left" vertical="center" wrapText="1"/>
    </xf>
    <xf numFmtId="0" fontId="124" fillId="0" borderId="27" xfId="0" applyFont="1" applyBorder="1" applyAlignment="1">
      <alignment horizontal="center"/>
    </xf>
    <xf numFmtId="0" fontId="124" fillId="0" borderId="28" xfId="0" applyFont="1" applyBorder="1" applyAlignment="1">
      <alignment horizontal="center"/>
    </xf>
    <xf numFmtId="0" fontId="8" fillId="49" borderId="29" xfId="1448" applyFont="1" applyFill="1" applyBorder="1" applyAlignment="1">
      <alignment horizontal="center" vertical="center" wrapText="1"/>
    </xf>
    <xf numFmtId="0" fontId="8" fillId="57" borderId="30" xfId="0" applyFont="1" applyFill="1" applyBorder="1" applyAlignment="1">
      <alignment vertical="center" wrapText="1"/>
    </xf>
    <xf numFmtId="0" fontId="123" fillId="0" borderId="24" xfId="0" applyFont="1" applyBorder="1" applyAlignment="1">
      <alignment horizontal="center" vertical="center"/>
    </xf>
    <xf numFmtId="0" fontId="125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9" fillId="0" borderId="30" xfId="1255" applyFont="1" applyBorder="1" applyAlignment="1">
      <alignment horizontal="center" vertical="center" wrapText="1"/>
    </xf>
    <xf numFmtId="2" fontId="8" fillId="57" borderId="30" xfId="1448" applyNumberFormat="1" applyFont="1" applyFill="1" applyBorder="1" applyAlignment="1">
      <alignment horizontal="right" vertical="center" wrapText="1"/>
    </xf>
    <xf numFmtId="2" fontId="8" fillId="0" borderId="30" xfId="1479" applyNumberFormat="1" applyFont="1" applyBorder="1" applyAlignment="1">
      <alignment horizontal="right" vertical="center" shrinkToFit="1"/>
    </xf>
    <xf numFmtId="0" fontId="8" fillId="0" borderId="24" xfId="1448" applyFont="1" applyBorder="1" applyAlignment="1">
      <alignment horizontal="center" vertical="center" wrapText="1"/>
    </xf>
    <xf numFmtId="4" fontId="8" fillId="0" borderId="30" xfId="1479" applyNumberFormat="1" applyFont="1" applyBorder="1" applyAlignment="1">
      <alignment horizontal="right" vertical="center" wrapText="1"/>
    </xf>
    <xf numFmtId="0" fontId="111" fillId="0" borderId="30" xfId="0" applyFont="1" applyBorder="1" applyAlignment="1">
      <alignment horizontal="center" vertical="center" wrapText="1"/>
    </xf>
    <xf numFmtId="4" fontId="8" fillId="0" borderId="17" xfId="221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wrapText="1"/>
    </xf>
    <xf numFmtId="0" fontId="8" fillId="0" borderId="17" xfId="0" applyFont="1" applyBorder="1" applyAlignment="1">
      <alignment horizontal="center" vertical="top"/>
    </xf>
    <xf numFmtId="0" fontId="8" fillId="0" borderId="17" xfId="0" applyFont="1" applyBorder="1" applyAlignment="1">
      <alignment wrapText="1"/>
    </xf>
    <xf numFmtId="0" fontId="8" fillId="0" borderId="17" xfId="0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49" fontId="8" fillId="0" borderId="17" xfId="1479" applyNumberFormat="1" applyFont="1" applyBorder="1" applyAlignment="1">
      <alignment horizontal="left" vertical="center" wrapText="1"/>
    </xf>
    <xf numFmtId="0" fontId="123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top" wrapText="1"/>
    </xf>
    <xf numFmtId="2" fontId="8" fillId="57" borderId="17" xfId="221" applyNumberFormat="1" applyFont="1" applyFill="1" applyBorder="1" applyAlignment="1">
      <alignment horizontal="center" vertical="center" wrapText="1"/>
    </xf>
    <xf numFmtId="2" fontId="8" fillId="57" borderId="17" xfId="0" applyNumberFormat="1" applyFont="1" applyFill="1" applyBorder="1" applyAlignment="1">
      <alignment horizontal="center"/>
    </xf>
    <xf numFmtId="2" fontId="8" fillId="57" borderId="17" xfId="221" applyNumberFormat="1" applyFont="1" applyFill="1" applyBorder="1" applyAlignment="1">
      <alignment horizontal="right" vertical="center" wrapText="1"/>
    </xf>
    <xf numFmtId="43" fontId="14" fillId="57" borderId="17" xfId="770" applyFont="1" applyFill="1" applyBorder="1" applyAlignment="1">
      <alignment horizontal="center" vertical="center" wrapText="1"/>
    </xf>
    <xf numFmtId="0" fontId="8" fillId="56" borderId="17" xfId="1331" applyFont="1" applyFill="1" applyBorder="1" applyAlignment="1">
      <alignment horizontal="left" vertical="center" wrapText="1"/>
    </xf>
    <xf numFmtId="0" fontId="8" fillId="51" borderId="17" xfId="1429" applyFont="1" applyFill="1" applyBorder="1" applyAlignment="1">
      <alignment horizontal="center" vertical="center" wrapText="1"/>
    </xf>
    <xf numFmtId="0" fontId="8" fillId="56" borderId="17" xfId="1429" applyFont="1" applyFill="1" applyBorder="1" applyAlignment="1">
      <alignment horizontal="left" vertical="center" wrapText="1"/>
    </xf>
    <xf numFmtId="0" fontId="9" fillId="56" borderId="17" xfId="1331" applyFont="1" applyFill="1" applyBorder="1" applyAlignment="1">
      <alignment wrapText="1"/>
    </xf>
    <xf numFmtId="0" fontId="8" fillId="51" borderId="17" xfId="1331" applyFont="1" applyFill="1" applyBorder="1" applyAlignment="1">
      <alignment horizontal="center" vertical="center"/>
    </xf>
    <xf numFmtId="0" fontId="9" fillId="56" borderId="17" xfId="1331" applyFont="1" applyFill="1" applyBorder="1" applyAlignment="1">
      <alignment vertical="center" wrapText="1"/>
    </xf>
    <xf numFmtId="0" fontId="8" fillId="51" borderId="17" xfId="1331" applyFont="1" applyFill="1" applyBorder="1" applyAlignment="1">
      <alignment horizontal="center" vertical="center" wrapText="1"/>
    </xf>
    <xf numFmtId="2" fontId="8" fillId="0" borderId="0" xfId="1448" applyNumberFormat="1" applyFont="1"/>
    <xf numFmtId="2" fontId="123" fillId="0" borderId="17" xfId="0" applyNumberFormat="1" applyFont="1" applyBorder="1"/>
    <xf numFmtId="0" fontId="8" fillId="57" borderId="17" xfId="0" applyFont="1" applyFill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shrinkToFit="1"/>
    </xf>
    <xf numFmtId="2" fontId="8" fillId="0" borderId="17" xfId="1359" applyNumberFormat="1" applyFont="1" applyBorder="1" applyAlignment="1">
      <alignment horizontal="right" vertical="center" shrinkToFit="1"/>
    </xf>
    <xf numFmtId="49" fontId="12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0" fontId="8" fillId="57" borderId="17" xfId="0" applyFont="1" applyFill="1" applyBorder="1" applyAlignment="1">
      <alignment horizontal="center" vertical="top" wrapText="1"/>
    </xf>
    <xf numFmtId="2" fontId="8" fillId="0" borderId="17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2" fontId="123" fillId="49" borderId="17" xfId="0" applyNumberFormat="1" applyFont="1" applyFill="1" applyBorder="1" applyAlignment="1">
      <alignment horizontal="right" vertical="center" wrapText="1"/>
    </xf>
    <xf numFmtId="0" fontId="8" fillId="57" borderId="17" xfId="0" applyFont="1" applyFill="1" applyBorder="1" applyAlignment="1">
      <alignment horizontal="left" vertical="center" wrapText="1"/>
    </xf>
    <xf numFmtId="0" fontId="123" fillId="57" borderId="17" xfId="0" applyFont="1" applyFill="1" applyBorder="1" applyAlignment="1">
      <alignment wrapText="1"/>
    </xf>
    <xf numFmtId="0" fontId="123" fillId="0" borderId="17" xfId="0" applyFont="1" applyBorder="1" applyAlignment="1">
      <alignment wrapText="1"/>
    </xf>
    <xf numFmtId="2" fontId="8" fillId="0" borderId="17" xfId="1479" applyNumberFormat="1" applyFont="1" applyBorder="1" applyAlignment="1">
      <alignment horizontal="right" vertical="center" wrapText="1"/>
    </xf>
    <xf numFmtId="0" fontId="8" fillId="0" borderId="17" xfId="1428" applyFont="1" applyBorder="1" applyAlignment="1">
      <alignment horizontal="left" vertical="center" wrapText="1"/>
    </xf>
    <xf numFmtId="0" fontId="8" fillId="0" borderId="17" xfId="1378" applyFont="1" applyBorder="1" applyAlignment="1">
      <alignment horizontal="center" vertical="center"/>
    </xf>
    <xf numFmtId="2" fontId="8" fillId="0" borderId="17" xfId="221" applyNumberFormat="1" applyFont="1" applyFill="1" applyBorder="1" applyAlignment="1" applyProtection="1">
      <alignment horizontal="right" vertical="center" wrapText="1"/>
    </xf>
    <xf numFmtId="0" fontId="12" fillId="0" borderId="17" xfId="1349" applyFont="1" applyBorder="1" applyAlignment="1">
      <alignment horizontal="center" vertical="center" wrapText="1"/>
    </xf>
    <xf numFmtId="43" fontId="8" fillId="0" borderId="17" xfId="221" applyFont="1" applyFill="1" applyBorder="1" applyAlignment="1" applyProtection="1">
      <alignment horizontal="right" vertical="center" wrapText="1"/>
    </xf>
    <xf numFmtId="0" fontId="123" fillId="0" borderId="17" xfId="0" applyFont="1" applyBorder="1" applyAlignment="1">
      <alignment horizontal="right"/>
    </xf>
    <xf numFmtId="1" fontId="8" fillId="0" borderId="17" xfId="0" applyNumberFormat="1" applyFont="1" applyBorder="1" applyAlignment="1">
      <alignment horizontal="right" vertical="center" wrapText="1"/>
    </xf>
    <xf numFmtId="0" fontId="8" fillId="0" borderId="17" xfId="0" applyFont="1" applyBorder="1"/>
    <xf numFmtId="4" fontId="8" fillId="0" borderId="17" xfId="0" applyNumberFormat="1" applyFont="1" applyBorder="1" applyAlignment="1">
      <alignment horizontal="right" vertical="center"/>
    </xf>
    <xf numFmtId="9" fontId="8" fillId="57" borderId="17" xfId="0" applyNumberFormat="1" applyFont="1" applyFill="1" applyBorder="1" applyAlignment="1">
      <alignment horizontal="right" vertical="center"/>
    </xf>
    <xf numFmtId="9" fontId="8" fillId="0" borderId="17" xfId="0" applyNumberFormat="1" applyFont="1" applyBorder="1" applyAlignment="1">
      <alignment horizontal="right" vertical="center"/>
    </xf>
    <xf numFmtId="0" fontId="129" fillId="0" borderId="17" xfId="0" applyFont="1" applyBorder="1" applyAlignment="1">
      <alignment horizontal="center" vertical="center"/>
    </xf>
    <xf numFmtId="0" fontId="112" fillId="0" borderId="17" xfId="1476" applyFont="1" applyBorder="1" applyAlignment="1">
      <alignment horizontal="left" vertical="center" wrapText="1"/>
    </xf>
    <xf numFmtId="0" fontId="112" fillId="0" borderId="17" xfId="0" applyFont="1" applyBorder="1" applyAlignment="1">
      <alignment horizontal="center" vertical="center" wrapText="1"/>
    </xf>
    <xf numFmtId="0" fontId="129" fillId="0" borderId="0" xfId="0" applyFont="1"/>
    <xf numFmtId="2" fontId="112" fillId="0" borderId="17" xfId="221" applyNumberFormat="1" applyFont="1" applyFill="1" applyBorder="1" applyAlignment="1">
      <alignment vertical="center"/>
    </xf>
    <xf numFmtId="2" fontId="112" fillId="0" borderId="17" xfId="221" applyNumberFormat="1" applyFont="1" applyFill="1" applyBorder="1" applyAlignment="1">
      <alignment vertical="center" wrapText="1"/>
    </xf>
    <xf numFmtId="43" fontId="14" fillId="0" borderId="17" xfId="221" applyFont="1" applyFill="1" applyBorder="1" applyAlignment="1">
      <alignment vertical="center" wrapText="1"/>
    </xf>
    <xf numFmtId="2" fontId="14" fillId="0" borderId="17" xfId="221" applyNumberFormat="1" applyFont="1" applyFill="1" applyBorder="1" applyAlignment="1">
      <alignment vertical="center" wrapText="1"/>
    </xf>
    <xf numFmtId="2" fontId="8" fillId="0" borderId="25" xfId="221" applyNumberFormat="1" applyFont="1" applyFill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 wrapText="1"/>
    </xf>
    <xf numFmtId="0" fontId="123" fillId="0" borderId="25" xfId="0" applyFont="1" applyBorder="1"/>
    <xf numFmtId="0" fontId="112" fillId="0" borderId="24" xfId="0" applyFont="1" applyBorder="1" applyAlignment="1">
      <alignment horizontal="center" vertical="center"/>
    </xf>
    <xf numFmtId="2" fontId="112" fillId="0" borderId="25" xfId="221" applyNumberFormat="1" applyFont="1" applyFill="1" applyBorder="1" applyAlignment="1">
      <alignment vertical="center" wrapText="1"/>
    </xf>
    <xf numFmtId="0" fontId="8" fillId="49" borderId="17" xfId="1448" applyFont="1" applyFill="1" applyBorder="1" applyAlignment="1">
      <alignment vertical="center" wrapText="1"/>
    </xf>
    <xf numFmtId="4" fontId="8" fillId="0" borderId="25" xfId="221" applyNumberFormat="1" applyFont="1" applyFill="1" applyBorder="1" applyAlignment="1">
      <alignment horizontal="right" vertical="center" wrapText="1"/>
    </xf>
    <xf numFmtId="2" fontId="8" fillId="57" borderId="17" xfId="770" applyNumberFormat="1" applyFont="1" applyFill="1" applyBorder="1" applyAlignment="1">
      <alignment horizontal="right" vertical="center" wrapText="1"/>
    </xf>
    <xf numFmtId="43" fontId="8" fillId="57" borderId="17" xfId="770" applyFont="1" applyFill="1" applyBorder="1" applyAlignment="1">
      <alignment horizontal="right" vertical="center" wrapText="1"/>
    </xf>
    <xf numFmtId="2" fontId="8" fillId="57" borderId="25" xfId="221" applyNumberFormat="1" applyFont="1" applyFill="1" applyBorder="1" applyAlignment="1">
      <alignment horizontal="right" vertical="center" wrapText="1"/>
    </xf>
    <xf numFmtId="0" fontId="8" fillId="0" borderId="30" xfId="0" applyFont="1" applyBorder="1" applyAlignment="1">
      <alignment horizontal="center"/>
    </xf>
    <xf numFmtId="2" fontId="8" fillId="0" borderId="30" xfId="0" applyNumberFormat="1" applyFont="1" applyBorder="1" applyAlignment="1">
      <alignment horizontal="center" vertical="center"/>
    </xf>
    <xf numFmtId="2" fontId="8" fillId="57" borderId="30" xfId="221" applyNumberFormat="1" applyFont="1" applyFill="1" applyBorder="1" applyAlignment="1">
      <alignment horizontal="right" vertical="center" wrapText="1"/>
    </xf>
    <xf numFmtId="2" fontId="8" fillId="57" borderId="31" xfId="221" applyNumberFormat="1" applyFont="1" applyFill="1" applyBorder="1" applyAlignment="1">
      <alignment horizontal="right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/>
    </xf>
    <xf numFmtId="2" fontId="12" fillId="0" borderId="30" xfId="0" applyNumberFormat="1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/>
    </xf>
    <xf numFmtId="2" fontId="8" fillId="57" borderId="30" xfId="221" applyNumberFormat="1" applyFont="1" applyFill="1" applyBorder="1" applyAlignment="1">
      <alignment horizontal="center" vertical="center" wrapText="1"/>
    </xf>
    <xf numFmtId="2" fontId="8" fillId="57" borderId="30" xfId="0" applyNumberFormat="1" applyFont="1" applyFill="1" applyBorder="1" applyAlignment="1">
      <alignment horizontal="center"/>
    </xf>
    <xf numFmtId="2" fontId="8" fillId="57" borderId="31" xfId="221" applyNumberFormat="1" applyFont="1" applyFill="1" applyBorder="1" applyAlignment="1">
      <alignment horizontal="center" vertical="center" wrapText="1"/>
    </xf>
    <xf numFmtId="2" fontId="8" fillId="57" borderId="25" xfId="221" applyNumberFormat="1" applyFont="1" applyFill="1" applyBorder="1" applyAlignment="1">
      <alignment horizontal="center" vertical="center" wrapText="1"/>
    </xf>
    <xf numFmtId="0" fontId="8" fillId="0" borderId="17" xfId="1448" applyFont="1" applyBorder="1" applyAlignment="1">
      <alignment horizontal="center" vertical="center"/>
    </xf>
    <xf numFmtId="0" fontId="9" fillId="0" borderId="17" xfId="1448" applyFont="1" applyBorder="1" applyAlignment="1">
      <alignment horizontal="center" vertical="center"/>
    </xf>
    <xf numFmtId="0" fontId="130" fillId="57" borderId="30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2" fontId="123" fillId="49" borderId="30" xfId="0" applyNumberFormat="1" applyFont="1" applyFill="1" applyBorder="1" applyAlignment="1">
      <alignment horizontal="right" vertical="center" wrapText="1"/>
    </xf>
    <xf numFmtId="2" fontId="123" fillId="49" borderId="31" xfId="0" applyNumberFormat="1" applyFont="1" applyFill="1" applyBorder="1" applyAlignment="1">
      <alignment horizontal="right" vertical="center" wrapText="1"/>
    </xf>
    <xf numFmtId="2" fontId="123" fillId="49" borderId="25" xfId="0" applyNumberFormat="1" applyFont="1" applyFill="1" applyBorder="1" applyAlignment="1">
      <alignment horizontal="right" vertical="center" wrapText="1"/>
    </xf>
    <xf numFmtId="0" fontId="125" fillId="0" borderId="24" xfId="0" applyFont="1" applyBorder="1" applyAlignment="1">
      <alignment horizontal="center" vertical="center"/>
    </xf>
    <xf numFmtId="0" fontId="8" fillId="0" borderId="24" xfId="1448" applyFont="1" applyBorder="1" applyAlignment="1">
      <alignment horizontal="center" vertical="center"/>
    </xf>
    <xf numFmtId="0" fontId="9" fillId="0" borderId="24" xfId="1448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 shrinkToFit="1"/>
    </xf>
    <xf numFmtId="2" fontId="8" fillId="0" borderId="17" xfId="0" applyNumberFormat="1" applyFont="1" applyBorder="1" applyAlignment="1">
      <alignment horizontal="center" vertical="top" wrapText="1"/>
    </xf>
    <xf numFmtId="1" fontId="8" fillId="0" borderId="17" xfId="0" applyNumberFormat="1" applyFont="1" applyBorder="1" applyAlignment="1">
      <alignment horizontal="center" vertical="center"/>
    </xf>
    <xf numFmtId="184" fontId="8" fillId="0" borderId="17" xfId="0" applyNumberFormat="1" applyFont="1" applyBorder="1" applyAlignment="1">
      <alignment horizontal="center" vertical="center" wrapText="1"/>
    </xf>
    <xf numFmtId="184" fontId="8" fillId="0" borderId="17" xfId="0" applyNumberFormat="1" applyFont="1" applyBorder="1" applyAlignment="1">
      <alignment vertical="center" wrapText="1"/>
    </xf>
    <xf numFmtId="184" fontId="9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1479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2" fontId="8" fillId="0" borderId="0" xfId="1479" applyNumberFormat="1" applyFont="1" applyAlignment="1">
      <alignment horizontal="right" vertical="center" shrinkToFit="1"/>
    </xf>
    <xf numFmtId="2" fontId="8" fillId="0" borderId="0" xfId="0" applyNumberFormat="1" applyFont="1" applyAlignment="1">
      <alignment horizontal="right" vertical="center"/>
    </xf>
    <xf numFmtId="0" fontId="8" fillId="0" borderId="0" xfId="1479" quotePrefix="1" applyFont="1" applyAlignment="1">
      <alignment horizontal="center" vertical="center"/>
    </xf>
    <xf numFmtId="0" fontId="8" fillId="0" borderId="0" xfId="1448" applyFont="1" applyAlignment="1">
      <alignment horizontal="left" vertical="center" wrapText="1"/>
    </xf>
    <xf numFmtId="0" fontId="8" fillId="0" borderId="0" xfId="1448" applyFont="1" applyAlignment="1">
      <alignment horizontal="left" vertical="top" wrapText="1"/>
    </xf>
    <xf numFmtId="0" fontId="8" fillId="0" borderId="0" xfId="1448" applyFont="1" applyAlignment="1">
      <alignment horizontal="center" vertical="center" wrapText="1"/>
    </xf>
    <xf numFmtId="2" fontId="8" fillId="0" borderId="0" xfId="1448" applyNumberFormat="1" applyFont="1" applyAlignment="1">
      <alignment horizontal="right" vertical="center" wrapText="1"/>
    </xf>
    <xf numFmtId="0" fontId="12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2" fontId="8" fillId="0" borderId="0" xfId="1449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1" fontId="8" fillId="0" borderId="17" xfId="1448" applyNumberFormat="1" applyFont="1" applyBorder="1" applyAlignment="1">
      <alignment horizontal="center" vertical="center" wrapText="1"/>
    </xf>
    <xf numFmtId="0" fontId="122" fillId="0" borderId="32" xfId="0" applyFont="1" applyBorder="1"/>
    <xf numFmtId="0" fontId="8" fillId="49" borderId="32" xfId="1448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123" fillId="0" borderId="45" xfId="0" applyFont="1" applyBorder="1" applyAlignment="1">
      <alignment horizontal="center"/>
    </xf>
    <xf numFmtId="0" fontId="123" fillId="0" borderId="47" xfId="0" applyFont="1" applyBorder="1" applyAlignment="1">
      <alignment horizontal="center"/>
    </xf>
    <xf numFmtId="2" fontId="123" fillId="0" borderId="17" xfId="0" applyNumberFormat="1" applyFont="1" applyBorder="1" applyAlignment="1">
      <alignment horizontal="right"/>
    </xf>
    <xf numFmtId="2" fontId="12" fillId="57" borderId="17" xfId="0" applyNumberFormat="1" applyFont="1" applyFill="1" applyBorder="1" applyAlignment="1">
      <alignment horizontal="right" vertical="center" wrapText="1"/>
    </xf>
    <xf numFmtId="0" fontId="108" fillId="0" borderId="0" xfId="0" applyFont="1" applyAlignment="1">
      <alignment horizontal="right"/>
    </xf>
    <xf numFmtId="2" fontId="112" fillId="0" borderId="17" xfId="0" applyNumberFormat="1" applyFont="1" applyBorder="1" applyAlignment="1">
      <alignment horizontal="right" vertical="center" wrapText="1"/>
    </xf>
    <xf numFmtId="4" fontId="123" fillId="0" borderId="0" xfId="0" applyNumberFormat="1" applyFont="1" applyAlignment="1">
      <alignment horizontal="left"/>
    </xf>
    <xf numFmtId="0" fontId="19" fillId="0" borderId="0" xfId="1610" applyFont="1" applyAlignment="1">
      <alignment vertical="center"/>
    </xf>
    <xf numFmtId="0" fontId="134" fillId="0" borderId="0" xfId="1610" applyFont="1"/>
    <xf numFmtId="0" fontId="133" fillId="0" borderId="0" xfId="1610"/>
    <xf numFmtId="0" fontId="19" fillId="0" borderId="0" xfId="1610" applyFont="1" applyAlignment="1">
      <alignment horizontal="left" vertical="center"/>
    </xf>
    <xf numFmtId="0" fontId="134" fillId="0" borderId="0" xfId="1610" applyFont="1" applyAlignment="1">
      <alignment horizontal="center" wrapText="1"/>
    </xf>
    <xf numFmtId="0" fontId="134" fillId="0" borderId="0" xfId="1610" applyFont="1" applyAlignment="1">
      <alignment horizontal="right"/>
    </xf>
    <xf numFmtId="14" fontId="18" fillId="0" borderId="0" xfId="1610" applyNumberFormat="1" applyFont="1" applyAlignment="1">
      <alignment horizontal="right" vertical="center"/>
    </xf>
    <xf numFmtId="0" fontId="139" fillId="0" borderId="17" xfId="1610" applyFont="1" applyBorder="1" applyAlignment="1">
      <alignment horizontal="center" vertical="center" wrapText="1"/>
    </xf>
    <xf numFmtId="0" fontId="139" fillId="0" borderId="17" xfId="1610" applyFont="1" applyBorder="1" applyAlignment="1">
      <alignment horizontal="left" vertical="center" wrapText="1"/>
    </xf>
    <xf numFmtId="2" fontId="139" fillId="0" borderId="17" xfId="1610" applyNumberFormat="1" applyFont="1" applyBorder="1" applyAlignment="1">
      <alignment horizontal="center" vertical="center" wrapText="1"/>
    </xf>
    <xf numFmtId="185" fontId="139" fillId="0" borderId="17" xfId="1610" applyNumberFormat="1" applyFont="1" applyBorder="1" applyAlignment="1">
      <alignment horizontal="center" vertical="center" wrapText="1"/>
    </xf>
    <xf numFmtId="0" fontId="134" fillId="0" borderId="0" xfId="1610" applyFont="1" applyAlignment="1">
      <alignment horizontal="right" indent="1"/>
    </xf>
    <xf numFmtId="185" fontId="134" fillId="0" borderId="0" xfId="1610" applyNumberFormat="1" applyFont="1"/>
    <xf numFmtId="185" fontId="133" fillId="0" borderId="0" xfId="1610" applyNumberFormat="1"/>
    <xf numFmtId="2" fontId="141" fillId="0" borderId="17" xfId="1610" applyNumberFormat="1" applyFont="1" applyBorder="1" applyAlignment="1">
      <alignment horizontal="center" vertical="center" wrapText="1"/>
    </xf>
    <xf numFmtId="0" fontId="14" fillId="0" borderId="17" xfId="1610" applyFont="1" applyBorder="1" applyAlignment="1">
      <alignment horizontal="center" vertical="center" wrapText="1"/>
    </xf>
    <xf numFmtId="2" fontId="14" fillId="0" borderId="17" xfId="1610" applyNumberFormat="1" applyFont="1" applyBorder="1" applyAlignment="1">
      <alignment horizontal="center" vertical="center" wrapText="1"/>
    </xf>
    <xf numFmtId="0" fontId="137" fillId="0" borderId="17" xfId="1610" applyFont="1" applyBorder="1" applyAlignment="1">
      <alignment horizontal="center" vertical="center" wrapText="1"/>
    </xf>
    <xf numFmtId="0" fontId="138" fillId="0" borderId="17" xfId="1610" applyFont="1" applyBorder="1" applyAlignment="1">
      <alignment horizontal="center" vertical="center" wrapText="1"/>
    </xf>
    <xf numFmtId="4" fontId="137" fillId="0" borderId="17" xfId="1610" applyNumberFormat="1" applyFont="1" applyBorder="1" applyAlignment="1">
      <alignment horizontal="center" vertical="center" wrapText="1"/>
    </xf>
    <xf numFmtId="0" fontId="138" fillId="0" borderId="17" xfId="1610" applyFont="1" applyBorder="1" applyAlignment="1">
      <alignment horizontal="center" wrapText="1"/>
    </xf>
    <xf numFmtId="0" fontId="140" fillId="0" borderId="17" xfId="1610" applyFont="1" applyBorder="1" applyAlignment="1">
      <alignment horizontal="left" vertical="center" wrapText="1"/>
    </xf>
    <xf numFmtId="0" fontId="135" fillId="0" borderId="0" xfId="1610" applyFont="1" applyAlignment="1">
      <alignment horizontal="center" vertical="center"/>
    </xf>
    <xf numFmtId="0" fontId="136" fillId="0" borderId="0" xfId="1610" applyFont="1" applyAlignment="1">
      <alignment horizontal="center"/>
    </xf>
    <xf numFmtId="0" fontId="8" fillId="0" borderId="17" xfId="1429" applyFont="1" applyBorder="1" applyAlignment="1">
      <alignment horizontal="right"/>
    </xf>
    <xf numFmtId="0" fontId="18" fillId="58" borderId="17" xfId="1429" applyFont="1" applyFill="1" applyBorder="1" applyAlignment="1">
      <alignment horizontal="center" vertical="center"/>
    </xf>
    <xf numFmtId="167" fontId="18" fillId="58" borderId="17" xfId="1429" applyNumberFormat="1" applyFont="1" applyFill="1" applyBorder="1" applyAlignment="1">
      <alignment horizontal="center" vertical="center" wrapText="1"/>
    </xf>
    <xf numFmtId="0" fontId="14" fillId="0" borderId="17" xfId="1429" applyFont="1" applyBorder="1" applyAlignment="1">
      <alignment horizontal="center" vertical="center"/>
    </xf>
    <xf numFmtId="0" fontId="14" fillId="0" borderId="17" xfId="1429" applyFont="1" applyBorder="1" applyAlignment="1">
      <alignment horizontal="left" vertical="center"/>
    </xf>
    <xf numFmtId="2" fontId="14" fillId="0" borderId="17" xfId="1429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1448" applyFont="1"/>
    <xf numFmtId="0" fontId="14" fillId="0" borderId="41" xfId="1429" applyFont="1" applyBorder="1" applyAlignment="1">
      <alignment horizontal="left" vertical="center" wrapText="1"/>
    </xf>
    <xf numFmtId="0" fontId="14" fillId="0" borderId="43" xfId="1429" applyFont="1" applyBorder="1" applyAlignment="1">
      <alignment horizontal="left" vertical="center" wrapText="1"/>
    </xf>
    <xf numFmtId="0" fontId="14" fillId="0" borderId="42" xfId="1429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/>
    </xf>
    <xf numFmtId="0" fontId="11" fillId="0" borderId="33" xfId="0" applyFont="1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7" xfId="1429" applyFont="1" applyBorder="1" applyAlignment="1">
      <alignment horizontal="right" vertical="center" wrapText="1"/>
    </xf>
    <xf numFmtId="0" fontId="129" fillId="0" borderId="0" xfId="0" applyFont="1"/>
    <xf numFmtId="2" fontId="129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4" fillId="0" borderId="0" xfId="1429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vertical="center" wrapText="1"/>
    </xf>
    <xf numFmtId="0" fontId="8" fillId="0" borderId="33" xfId="0" applyFont="1" applyBorder="1"/>
    <xf numFmtId="0" fontId="10" fillId="0" borderId="0" xfId="1287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1449" applyFont="1" applyAlignment="1">
      <alignment horizontal="center"/>
    </xf>
    <xf numFmtId="4" fontId="8" fillId="0" borderId="41" xfId="0" applyNumberFormat="1" applyFont="1" applyBorder="1" applyAlignment="1">
      <alignment horizontal="right" vertical="center"/>
    </xf>
    <xf numFmtId="0" fontId="123" fillId="0" borderId="42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123" fillId="0" borderId="0" xfId="0" applyFont="1"/>
    <xf numFmtId="0" fontId="8" fillId="0" borderId="0" xfId="0" applyFont="1"/>
    <xf numFmtId="0" fontId="123" fillId="0" borderId="33" xfId="0" applyFont="1" applyBorder="1"/>
    <xf numFmtId="0" fontId="0" fillId="0" borderId="33" xfId="0" applyBorder="1"/>
    <xf numFmtId="0" fontId="7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08" fillId="0" borderId="27" xfId="0" applyFont="1" applyBorder="1" applyAlignment="1">
      <alignment horizontal="right"/>
    </xf>
    <xf numFmtId="0" fontId="8" fillId="0" borderId="33" xfId="1448" applyFont="1" applyBorder="1" applyAlignment="1">
      <alignment horizontal="right" vertical="center"/>
    </xf>
    <xf numFmtId="0" fontId="8" fillId="0" borderId="40" xfId="1448" applyFont="1" applyBorder="1" applyAlignment="1">
      <alignment horizontal="center"/>
    </xf>
    <xf numFmtId="0" fontId="124" fillId="0" borderId="0" xfId="0" applyFont="1"/>
    <xf numFmtId="0" fontId="8" fillId="0" borderId="2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0" fillId="0" borderId="0" xfId="0"/>
    <xf numFmtId="0" fontId="8" fillId="0" borderId="0" xfId="1429" applyFont="1" applyAlignment="1">
      <alignment horizontal="left" vertical="top" wrapText="1"/>
    </xf>
    <xf numFmtId="0" fontId="1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1287" applyFont="1" applyAlignment="1">
      <alignment horizontal="right" vertical="center"/>
    </xf>
    <xf numFmtId="0" fontId="10" fillId="0" borderId="0" xfId="1448" applyFont="1" applyAlignment="1">
      <alignment horizontal="right" vertical="center"/>
    </xf>
    <xf numFmtId="0" fontId="121" fillId="0" borderId="0" xfId="0" applyFont="1"/>
    <xf numFmtId="0" fontId="131" fillId="0" borderId="0" xfId="1448" applyFont="1" applyAlignment="1">
      <alignment horizontal="right" vertical="center"/>
    </xf>
    <xf numFmtId="0" fontId="93" fillId="0" borderId="27" xfId="0" applyFont="1" applyBorder="1" applyAlignment="1">
      <alignment horizontal="right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08" fillId="0" borderId="34" xfId="0" applyFont="1" applyBorder="1" applyAlignment="1">
      <alignment horizontal="right"/>
    </xf>
    <xf numFmtId="0" fontId="108" fillId="0" borderId="35" xfId="0" applyFont="1" applyBorder="1" applyAlignment="1">
      <alignment horizontal="right"/>
    </xf>
    <xf numFmtId="0" fontId="108" fillId="0" borderId="36" xfId="0" applyFont="1" applyBorder="1" applyAlignment="1">
      <alignment horizontal="right"/>
    </xf>
    <xf numFmtId="0" fontId="8" fillId="0" borderId="0" xfId="1448" applyFont="1" applyAlignment="1">
      <alignment horizontal="center"/>
    </xf>
    <xf numFmtId="0" fontId="93" fillId="0" borderId="34" xfId="0" applyFont="1" applyBorder="1" applyAlignment="1">
      <alignment horizontal="right"/>
    </xf>
    <xf numFmtId="0" fontId="93" fillId="0" borderId="35" xfId="0" applyFont="1" applyBorder="1" applyAlignment="1">
      <alignment horizontal="right"/>
    </xf>
    <xf numFmtId="0" fontId="93" fillId="0" borderId="36" xfId="0" applyFont="1" applyBorder="1" applyAlignment="1">
      <alignment horizontal="right"/>
    </xf>
    <xf numFmtId="0" fontId="108" fillId="0" borderId="17" xfId="0" applyFont="1" applyBorder="1" applyAlignment="1">
      <alignment horizontal="right"/>
    </xf>
    <xf numFmtId="0" fontId="15" fillId="0" borderId="0" xfId="1610" applyFont="1" applyAlignment="1">
      <alignment horizontal="right" vertical="center"/>
    </xf>
    <xf numFmtId="2" fontId="8" fillId="0" borderId="17" xfId="1449" applyNumberFormat="1" applyFont="1" applyFill="1" applyBorder="1" applyAlignment="1">
      <alignment horizontal="right" vertical="center" wrapText="1"/>
    </xf>
    <xf numFmtId="2" fontId="8" fillId="0" borderId="41" xfId="1429" applyNumberFormat="1" applyFont="1" applyBorder="1" applyAlignment="1">
      <alignment horizontal="right" vertical="center" wrapText="1"/>
    </xf>
    <xf numFmtId="2" fontId="8" fillId="0" borderId="43" xfId="1429" applyNumberFormat="1" applyFont="1" applyBorder="1" applyAlignment="1">
      <alignment horizontal="right" vertical="center" wrapText="1"/>
    </xf>
    <xf numFmtId="2" fontId="8" fillId="0" borderId="42" xfId="1429" applyNumberFormat="1" applyFont="1" applyBorder="1" applyAlignment="1">
      <alignment horizontal="right" vertical="center" wrapText="1"/>
    </xf>
    <xf numFmtId="2" fontId="12" fillId="0" borderId="41" xfId="1429" applyNumberFormat="1" applyFont="1" applyBorder="1" applyAlignment="1">
      <alignment horizontal="right" vertical="center" wrapText="1"/>
    </xf>
    <xf numFmtId="2" fontId="12" fillId="0" borderId="43" xfId="1429" applyNumberFormat="1" applyFont="1" applyBorder="1" applyAlignment="1">
      <alignment horizontal="right" vertical="center" wrapText="1"/>
    </xf>
    <xf numFmtId="2" fontId="12" fillId="0" borderId="42" xfId="1429" applyNumberFormat="1" applyFont="1" applyBorder="1" applyAlignment="1">
      <alignment horizontal="right" vertical="center" wrapText="1"/>
    </xf>
    <xf numFmtId="0" fontId="14" fillId="0" borderId="41" xfId="1429" applyFont="1" applyBorder="1" applyAlignment="1">
      <alignment horizontal="right" vertical="center" wrapText="1"/>
    </xf>
    <xf numFmtId="0" fontId="142" fillId="0" borderId="43" xfId="0" applyFont="1" applyBorder="1" applyAlignment="1">
      <alignment horizontal="right" vertical="center" wrapText="1"/>
    </xf>
    <xf numFmtId="0" fontId="142" fillId="0" borderId="42" xfId="0" applyFont="1" applyBorder="1" applyAlignment="1">
      <alignment horizontal="right" vertical="center" wrapText="1"/>
    </xf>
    <xf numFmtId="2" fontId="14" fillId="0" borderId="41" xfId="1429" applyNumberFormat="1" applyFont="1" applyBorder="1" applyAlignment="1">
      <alignment horizontal="right" vertical="center" wrapText="1"/>
    </xf>
    <xf numFmtId="2" fontId="14" fillId="0" borderId="43" xfId="1429" applyNumberFormat="1" applyFont="1" applyBorder="1" applyAlignment="1">
      <alignment horizontal="right" vertical="center" wrapText="1"/>
    </xf>
    <xf numFmtId="2" fontId="14" fillId="0" borderId="42" xfId="1429" applyNumberFormat="1" applyFont="1" applyBorder="1" applyAlignment="1">
      <alignment horizontal="right" vertical="center" wrapText="1"/>
    </xf>
    <xf numFmtId="0" fontId="18" fillId="0" borderId="17" xfId="1429" applyFont="1" applyBorder="1" applyAlignment="1">
      <alignment horizontal="center"/>
    </xf>
    <xf numFmtId="0" fontId="14" fillId="0" borderId="41" xfId="1429" applyFont="1" applyBorder="1" applyAlignment="1">
      <alignment horizontal="right" vertical="center"/>
    </xf>
    <xf numFmtId="0" fontId="142" fillId="0" borderId="43" xfId="0" applyFont="1" applyBorder="1" applyAlignment="1">
      <alignment horizontal="right" vertical="center"/>
    </xf>
    <xf numFmtId="0" fontId="142" fillId="0" borderId="42" xfId="0" applyFont="1" applyBorder="1" applyAlignment="1">
      <alignment horizontal="right" vertical="center"/>
    </xf>
    <xf numFmtId="0" fontId="18" fillId="0" borderId="0" xfId="1429" applyFont="1"/>
    <xf numFmtId="166" fontId="18" fillId="0" borderId="0" xfId="1429" applyNumberFormat="1" applyFont="1" applyAlignment="1">
      <alignment horizontal="center" vertical="center" wrapText="1"/>
    </xf>
  </cellXfs>
  <cellStyles count="1611">
    <cellStyle name="1. izcēlums" xfId="1" xr:uid="{2DFB3423-7438-4DE1-8EDA-B263FC84AB70}"/>
    <cellStyle name="1. izcēlums 2" xfId="2" xr:uid="{F3255F80-1CC4-441E-A92A-F1A95C14A656}"/>
    <cellStyle name="2. izcēlums" xfId="3" xr:uid="{9E80FC3D-B332-440C-BF8C-CB610AEDD6E7}"/>
    <cellStyle name="2. izcēlums 2" xfId="4" xr:uid="{22279BA0-D0AC-45D4-818F-EB6C8D90864C}"/>
    <cellStyle name="20% - Accent1 2" xfId="5" xr:uid="{CA9F9902-6D06-4E56-8821-9021913E2964}"/>
    <cellStyle name="20% - Accent1 2 2" xfId="6" xr:uid="{B3216B03-D080-45CD-B819-E2097529B413}"/>
    <cellStyle name="20% - Accent1 3" xfId="7" xr:uid="{E0092800-F5C3-4143-A2FB-106193F01BDD}"/>
    <cellStyle name="20% - Accent1 3 2" xfId="8" xr:uid="{E319E3AA-B3DE-4FBF-9DD6-BEE2F55064F7}"/>
    <cellStyle name="20% - Accent2 2" xfId="9" xr:uid="{73A03540-6613-4BFF-BC08-D53CB33716A6}"/>
    <cellStyle name="20% - Accent2 2 2" xfId="10" xr:uid="{D2D6704C-DD5C-40ED-95D5-0E629AA6AA5C}"/>
    <cellStyle name="20% - Accent2 3" xfId="11" xr:uid="{0CD57135-6E85-4ACE-9F8F-DB402DE3417B}"/>
    <cellStyle name="20% - Accent2 3 2" xfId="12" xr:uid="{B7D85BA6-C4A1-4DD3-9B31-AFB850364407}"/>
    <cellStyle name="20% - Accent3 2" xfId="13" xr:uid="{A6C9E675-D548-4B09-B754-18EB6EEBEFAB}"/>
    <cellStyle name="20% - Accent3 2 2" xfId="14" xr:uid="{DC924E68-BA9E-45B4-B6BD-C22F6CEBDE47}"/>
    <cellStyle name="20% - Accent3 3" xfId="15" xr:uid="{90E6C7EF-8B45-43B4-9716-2192EB31BFA3}"/>
    <cellStyle name="20% - Accent3 3 2" xfId="16" xr:uid="{D3469C13-84E2-4704-9DC5-D3D8238BB2B0}"/>
    <cellStyle name="20% - Accent4 2" xfId="17" xr:uid="{3F0E355F-D446-4F42-A3AE-1756EEBA7CF5}"/>
    <cellStyle name="20% - Accent4 2 2" xfId="18" xr:uid="{FAAD7E49-101E-4D44-A171-BC18312DF1E2}"/>
    <cellStyle name="20% - Accent4 3" xfId="19" xr:uid="{6A3AC5FE-EFA9-4E50-8D4E-F274E9F87301}"/>
    <cellStyle name="20% - Accent4 3 2" xfId="20" xr:uid="{65ADE85A-09B5-4F17-BE28-5A226F370A7A}"/>
    <cellStyle name="20% - Accent5 2" xfId="21" xr:uid="{4D2577EC-35F1-460E-97FB-28751569E35F}"/>
    <cellStyle name="20% - Accent5 2 2" xfId="22" xr:uid="{EC4CE366-608A-41D3-BF3C-2B546B36DA5F}"/>
    <cellStyle name="20% - Accent5 3" xfId="23" xr:uid="{FB77C70F-B219-4CE0-B31B-2E2EEF8288A1}"/>
    <cellStyle name="20% - Accent6 2" xfId="24" xr:uid="{367941D5-3A0C-4F06-A338-50B660B23C53}"/>
    <cellStyle name="20% - Accent6 2 2" xfId="25" xr:uid="{E843C648-325C-46F3-8BDF-94CCF417F828}"/>
    <cellStyle name="20% - Accent6 3" xfId="26" xr:uid="{DDA7ADA0-2EDF-45D7-A6DC-28F7C821EFD2}"/>
    <cellStyle name="20% - Accent6 3 2" xfId="27" xr:uid="{AA0BA8FF-FF1E-4B25-A007-1831DBAFF456}"/>
    <cellStyle name="20% - Акцент1" xfId="28" xr:uid="{395D204C-6D9F-47E2-9B73-5DDF35142AD8}"/>
    <cellStyle name="20% - Акцент1 2" xfId="29" xr:uid="{005E8F1D-B431-47D8-A9B6-CC4277DE51BE}"/>
    <cellStyle name="20% - Акцент1 2 2" xfId="30" xr:uid="{92F55977-FD7C-429F-81F8-906C3C8B9CB1}"/>
    <cellStyle name="20% - Акцент1 3" xfId="31" xr:uid="{CAC5716E-EE9A-4488-B2E0-8F41CC62EF7B}"/>
    <cellStyle name="20% - Акцент2" xfId="32" xr:uid="{0B12D64F-71D0-4503-A6BD-215EDFF71869}"/>
    <cellStyle name="20% - Акцент2 2" xfId="33" xr:uid="{F476914D-852B-43B3-A423-807C4EE3089A}"/>
    <cellStyle name="20% - Акцент2 2 2" xfId="34" xr:uid="{889E529E-1BAA-4092-AF37-D7114BF314DC}"/>
    <cellStyle name="20% - Акцент2 3" xfId="35" xr:uid="{D872EC68-26B0-49D4-9580-AAB902481E14}"/>
    <cellStyle name="20% - Акцент3" xfId="36" xr:uid="{A27B1B3B-105D-428C-8A2A-AF398A452668}"/>
    <cellStyle name="20% - Акцент3 2" xfId="37" xr:uid="{E5443A9C-7B02-45A0-AF1F-BD1455AD48B8}"/>
    <cellStyle name="20% - Акцент3 2 2" xfId="38" xr:uid="{65F0E604-C010-431F-9A10-095B77F19450}"/>
    <cellStyle name="20% - Акцент3 3" xfId="39" xr:uid="{15467661-771D-439D-8BEC-63E84BB08F4F}"/>
    <cellStyle name="20% - Акцент4" xfId="40" xr:uid="{D345CD43-7409-47D8-93FD-CFC3540BA0B7}"/>
    <cellStyle name="20% - Акцент4 2" xfId="41" xr:uid="{EA94663F-781E-49EE-B95C-81205964EDD1}"/>
    <cellStyle name="20% - Акцент4 2 2" xfId="42" xr:uid="{5C278BD4-1C4E-4378-8763-E129CB48C85C}"/>
    <cellStyle name="20% - Акцент4 3" xfId="43" xr:uid="{2057C88E-F587-46DB-BD50-2C0732F78A12}"/>
    <cellStyle name="20% - Акцент5" xfId="44" xr:uid="{A8697038-2976-432E-8C40-A1D26362B1CE}"/>
    <cellStyle name="20% - Акцент5 2" xfId="45" xr:uid="{9831097A-4DA3-45D5-A554-2966D4AE0506}"/>
    <cellStyle name="20% - Акцент5 2 2" xfId="46" xr:uid="{B2D90F55-BB50-4870-8BF0-E6DC6CF124F2}"/>
    <cellStyle name="20% - Акцент5 3" xfId="47" xr:uid="{8A61D0A1-53D3-4680-9E31-5907C1C25B92}"/>
    <cellStyle name="20% - Акцент6" xfId="48" xr:uid="{FF24F248-040B-4FD2-A6E2-7052338F778E}"/>
    <cellStyle name="20% - Акцент6 2" xfId="49" xr:uid="{76DB79CB-61E4-4BBD-B3C1-704F88B63532}"/>
    <cellStyle name="20% - Акцент6 2 2" xfId="50" xr:uid="{85865385-61DA-4C87-9E3E-BB149AD8DED6}"/>
    <cellStyle name="20% - Акцент6 3" xfId="51" xr:uid="{5614DA5E-5C98-4C7F-8961-D8B8FFD434FB}"/>
    <cellStyle name="20% no 1. izcēluma" xfId="52" xr:uid="{0914046D-A691-4BD3-9CAF-10FE45D7940E}"/>
    <cellStyle name="20% no 1. izcēluma 2" xfId="53" xr:uid="{2F9C2E28-72EB-4AC7-B127-95796129F73A}"/>
    <cellStyle name="20% no 1. izcēluma 3" xfId="54" xr:uid="{FE209343-AE7B-4BCD-8196-82A3D4DD34BA}"/>
    <cellStyle name="20% no 2. izcēluma" xfId="55" xr:uid="{D2B83B04-54EA-4271-9139-75EC2D4BA9AB}"/>
    <cellStyle name="20% no 2. izcēluma 2" xfId="56" xr:uid="{8F134F79-0C2D-481E-BF88-BEA88D0DA823}"/>
    <cellStyle name="20% no 2. izcēluma 3" xfId="57" xr:uid="{5659FB77-D050-4D70-81D9-E9BC3A3A2B27}"/>
    <cellStyle name="20% no 3. izcēluma" xfId="58" xr:uid="{32B95D72-6DE8-4057-AEC7-6DF316E3D2B5}"/>
    <cellStyle name="20% no 3. izcēluma 2" xfId="59" xr:uid="{3DBE3AC0-58E1-4698-8A99-E77B06C15A54}"/>
    <cellStyle name="20% no 3. izcēluma 3" xfId="60" xr:uid="{18EFE9E6-75A1-4787-B510-0190D8E80FA2}"/>
    <cellStyle name="20% no 4. izcēluma" xfId="61" xr:uid="{A7267DE2-6372-4E2D-8898-480965DE36E9}"/>
    <cellStyle name="20% no 4. izcēluma 2" xfId="62" xr:uid="{8A21C0A4-872F-4829-9FAA-44343D0C6D02}"/>
    <cellStyle name="20% no 4. izcēluma 3" xfId="63" xr:uid="{A24B9C19-A9A2-4015-A8C9-4480BBCF299E}"/>
    <cellStyle name="20% no 5. izcēluma" xfId="64" xr:uid="{5D7A3148-ACB8-4D4F-B6D2-8FCAAC27CE25}"/>
    <cellStyle name="20% no 5. izcēluma 2" xfId="65" xr:uid="{809550ED-0F6E-46A5-829E-5001CB4A5A0A}"/>
    <cellStyle name="20% no 5. izcēluma 3" xfId="66" xr:uid="{C82E347B-232A-4360-A571-6FA186F7271D}"/>
    <cellStyle name="20% no 6. izcēluma" xfId="67" xr:uid="{825B8FC6-0B28-4B25-9E3C-E829F7E81D8B}"/>
    <cellStyle name="20% no 6. izcēluma 2" xfId="68" xr:uid="{508D11CE-347D-465F-912C-554E1532D841}"/>
    <cellStyle name="20% no 6. izcēluma 3" xfId="69" xr:uid="{80957B99-CC60-44DC-B5C8-F6C62BB2AD45}"/>
    <cellStyle name="3. izcēlums " xfId="70" xr:uid="{F7663BB8-C0F8-4E68-AE6E-E4E7534E2C3B}"/>
    <cellStyle name="3. izcēlums  2" xfId="71" xr:uid="{164B16B3-8706-4DC5-A11B-683841A43A5E}"/>
    <cellStyle name="4. izcēlums" xfId="72" xr:uid="{DDF9DD6C-3914-4F09-8DD4-1FEA5F812E27}"/>
    <cellStyle name="4. izcēlums 2" xfId="73" xr:uid="{5044A29D-FD45-4E1C-8A9C-09EBE91E9B51}"/>
    <cellStyle name="40% - Accent1 2" xfId="74" xr:uid="{C341E2A3-F002-4D62-82FA-4879E8C66DA6}"/>
    <cellStyle name="40% - Accent1 2 2" xfId="75" xr:uid="{0A96C0C9-12DA-4486-9D2D-491690A79467}"/>
    <cellStyle name="40% - Accent1 3" xfId="76" xr:uid="{2FACEE8B-B0A8-49D5-A6D1-8EC6E2CF04B3}"/>
    <cellStyle name="40% - Accent2 2" xfId="77" xr:uid="{B4CFD1FD-1575-46CC-AC77-85432658B87A}"/>
    <cellStyle name="40% - Accent2 2 2" xfId="78" xr:uid="{B4FC8E3D-6FD5-4FFB-A444-9D13F6F83F4F}"/>
    <cellStyle name="40% - Accent2 3" xfId="79" xr:uid="{4EE17F8B-18DD-4488-8735-C1281745E2C7}"/>
    <cellStyle name="40% - Accent3 2" xfId="80" xr:uid="{D2FDE0A1-F895-4D34-8CDA-2CC2B35544D3}"/>
    <cellStyle name="40% - Accent3 2 2" xfId="81" xr:uid="{9473A936-A4E5-47C9-BFA9-0D778521B04B}"/>
    <cellStyle name="40% - Accent3 3" xfId="82" xr:uid="{E401668A-7CF8-487D-BCC7-2ECDF9E48B4E}"/>
    <cellStyle name="40% - Accent3 3 2" xfId="83" xr:uid="{3243E347-5F56-45E8-A95E-F48D7BBABD89}"/>
    <cellStyle name="40% - Accent4 2" xfId="84" xr:uid="{DE38B5A1-926C-4C05-990C-5928E8F2B1DF}"/>
    <cellStyle name="40% - Accent4 2 2" xfId="85" xr:uid="{2B390AEC-6B1C-4B45-BE29-042940F362BC}"/>
    <cellStyle name="40% - Accent4 3" xfId="86" xr:uid="{8326A739-B31D-456B-9E91-09AEE5159CB4}"/>
    <cellStyle name="40% - Accent4 3 2" xfId="87" xr:uid="{80FD9649-69D7-41DD-B491-A24424799099}"/>
    <cellStyle name="40% - Accent5 2" xfId="88" xr:uid="{A2B652AE-DE92-4CC6-A729-E63A441DAA79}"/>
    <cellStyle name="40% - Accent5 2 2" xfId="89" xr:uid="{7DDB3D97-0757-4BA4-8FB6-244A3EA6A9AA}"/>
    <cellStyle name="40% - Accent5 3" xfId="90" xr:uid="{F50E714D-FB6E-403D-B85A-D24C05680262}"/>
    <cellStyle name="40% - Accent6 2" xfId="91" xr:uid="{82C4031D-F8EB-4FCA-B5D8-1499A4BE8501}"/>
    <cellStyle name="40% - Accent6 2 2" xfId="92" xr:uid="{541D197A-E40C-452C-A8EC-70FC7F19AABB}"/>
    <cellStyle name="40% - Accent6 3" xfId="93" xr:uid="{D4FFCFD9-323F-4D50-BFD2-37718AE64C65}"/>
    <cellStyle name="40% - Accent6 3 2" xfId="94" xr:uid="{10716430-F15E-4568-8326-FE6391B2A9DC}"/>
    <cellStyle name="40% - Акцент1" xfId="95" xr:uid="{414CA6E0-8CC8-49E9-848D-C99FF36B246C}"/>
    <cellStyle name="40% - Акцент1 2" xfId="96" xr:uid="{4E398E34-BE3B-4113-A4BC-BDB62FFA70B8}"/>
    <cellStyle name="40% - Акцент1 2 2" xfId="97" xr:uid="{56090F50-314A-4DEA-B3AD-FDD0A91BFBB6}"/>
    <cellStyle name="40% - Акцент1 3" xfId="98" xr:uid="{D3CF4721-D13B-4BDC-B20E-E4513CD12B4C}"/>
    <cellStyle name="40% - Акцент2" xfId="99" xr:uid="{F610B4BC-821B-497B-8507-3D559263CD8C}"/>
    <cellStyle name="40% - Акцент2 2" xfId="100" xr:uid="{F8D628F9-5A21-4837-AC59-38DD2284E0FE}"/>
    <cellStyle name="40% - Акцент2 2 2" xfId="101" xr:uid="{DAB80060-7AEA-46B9-A8BB-614D061BC3F1}"/>
    <cellStyle name="40% - Акцент2 3" xfId="102" xr:uid="{A677AC97-0941-4E08-93A2-4B60D04B3763}"/>
    <cellStyle name="40% - Акцент3" xfId="103" xr:uid="{DA4B9E0F-8242-4695-A94C-7B9356925B35}"/>
    <cellStyle name="40% - Акцент3 2" xfId="104" xr:uid="{EA19CD6D-837C-49CA-A5F1-DF5FE809E7B8}"/>
    <cellStyle name="40% - Акцент3 2 2" xfId="105" xr:uid="{10BA6051-CCEC-4AA9-9B8D-400986B848CE}"/>
    <cellStyle name="40% - Акцент3 3" xfId="106" xr:uid="{10DC7C49-22B0-49A6-B3FB-FD56D491AF9C}"/>
    <cellStyle name="40% - Акцент4" xfId="107" xr:uid="{67A05DBB-B040-4F12-BE4E-04B007157260}"/>
    <cellStyle name="40% - Акцент4 2" xfId="108" xr:uid="{DDCBFDA4-AA75-4CE7-A6C4-8D9E5CDEF536}"/>
    <cellStyle name="40% - Акцент4 2 2" xfId="109" xr:uid="{1614A44F-8516-4737-81A6-360D58A45C61}"/>
    <cellStyle name="40% - Акцент4 3" xfId="110" xr:uid="{DDBAF519-F2C4-430D-A324-8FE1B166C4C8}"/>
    <cellStyle name="40% - Акцент5" xfId="111" xr:uid="{EB636651-9A37-4409-A5DA-37B0DE1FD84A}"/>
    <cellStyle name="40% - Акцент5 2" xfId="112" xr:uid="{F2F64853-0268-402E-900C-42676EB2E17B}"/>
    <cellStyle name="40% - Акцент5 2 2" xfId="113" xr:uid="{AF019849-CC70-46B8-85CA-ECB327F17016}"/>
    <cellStyle name="40% - Акцент5 3" xfId="114" xr:uid="{B8E9E0BD-8D78-4727-B273-17BC15BBD210}"/>
    <cellStyle name="40% - Акцент6" xfId="115" xr:uid="{89834A89-E04C-4C99-A751-EB82ABAC8B83}"/>
    <cellStyle name="40% - Акцент6 2" xfId="116" xr:uid="{78E1D004-EDCB-40E8-B765-F3C0817D8378}"/>
    <cellStyle name="40% - Акцент6 2 2" xfId="117" xr:uid="{EDD64EC9-C8D8-49D9-ACC0-FCAEE29482AB}"/>
    <cellStyle name="40% - Акцент6 3" xfId="118" xr:uid="{734ABFA0-A219-4520-B434-DD77C3068326}"/>
    <cellStyle name="40% no 1. izcēluma" xfId="119" xr:uid="{E68B04DD-E4BA-47DA-9821-C9F7D21CC146}"/>
    <cellStyle name="40% no 1. izcēluma 2" xfId="120" xr:uid="{E2E5A6EE-DFE4-4758-B5CA-E3F970B3916F}"/>
    <cellStyle name="40% no 1. izcēluma 3" xfId="121" xr:uid="{0B16CDF6-C9ED-4479-BD12-C54BBB1B68FE}"/>
    <cellStyle name="40% no 2. izcēluma" xfId="122" xr:uid="{462CB163-F4B1-4006-A94E-08C2BA43CC7C}"/>
    <cellStyle name="40% no 2. izcēluma 2" xfId="123" xr:uid="{F94E8078-B220-403E-9799-53DDD9D88D5E}"/>
    <cellStyle name="40% no 2. izcēluma 3" xfId="124" xr:uid="{99C63567-899E-46B6-ADA2-FCC1513114E0}"/>
    <cellStyle name="40% no 3. izcēluma" xfId="125" xr:uid="{69B024BC-4A2D-4882-9A44-FBF43F2879C2}"/>
    <cellStyle name="40% no 3. izcēluma 2" xfId="126" xr:uid="{D8432BBA-E44D-4A97-9F6A-EE050FE505E1}"/>
    <cellStyle name="40% no 3. izcēluma 3" xfId="127" xr:uid="{02D9A35F-367C-4E3B-BA69-98205F808551}"/>
    <cellStyle name="40% no 4. izcēluma" xfId="128" xr:uid="{F8B382F6-F69C-4058-9669-9F35E3716F09}"/>
    <cellStyle name="40% no 4. izcēluma 2" xfId="129" xr:uid="{BF26623F-F958-4228-B296-5E8CA4B89816}"/>
    <cellStyle name="40% no 4. izcēluma 3" xfId="130" xr:uid="{A3CA8B88-C746-4849-8022-F9ED4B021AC4}"/>
    <cellStyle name="40% no 5. izcēluma" xfId="131" xr:uid="{90FB88B3-E886-49CC-A961-D1605CD6A487}"/>
    <cellStyle name="40% no 5. izcēluma 2" xfId="132" xr:uid="{562C3C68-B54F-4D2C-B5C8-37A2DF49DB72}"/>
    <cellStyle name="40% no 5. izcēluma 3" xfId="133" xr:uid="{F72EA6E4-0047-4992-BE14-401EC08D5F53}"/>
    <cellStyle name="40% no 6. izcēluma" xfId="134" xr:uid="{552107A4-7A76-4383-BD36-4BA3EBD81221}"/>
    <cellStyle name="40% no 6. izcēluma 2" xfId="135" xr:uid="{26B7CD08-21D9-4086-A238-DD79AF7921D3}"/>
    <cellStyle name="40% no 6. izcēluma 3" xfId="136" xr:uid="{87F3C5A7-7771-4C09-8937-2E044AB092CC}"/>
    <cellStyle name="5. izcēlums" xfId="137" xr:uid="{2A377B4C-1C00-460C-8F0A-4FDC129CFBB8}"/>
    <cellStyle name="5. izcēlums 2" xfId="138" xr:uid="{83EAF751-C593-461D-A3DB-4C347C1F5896}"/>
    <cellStyle name="6. izcēlums" xfId="139" xr:uid="{2531706E-C058-452F-9032-E29AB29E4477}"/>
    <cellStyle name="6. izcēlums 2" xfId="140" xr:uid="{B0D1A6AE-65AA-43E8-9DE6-5D33C541B7AE}"/>
    <cellStyle name="60% - Accent1 2" xfId="141" xr:uid="{A3847DF4-B5FD-4F72-B2BF-A7D8E7890C32}"/>
    <cellStyle name="60% - Accent1 2 2" xfId="142" xr:uid="{358D8895-6995-44C8-9D13-512F291EB38E}"/>
    <cellStyle name="60% - Accent1 2 3" xfId="143" xr:uid="{C5D89030-581A-4410-829E-420FD82EFFF1}"/>
    <cellStyle name="60% - Accent2 2" xfId="144" xr:uid="{1F2DFA13-06AF-45ED-8009-C38B989027DC}"/>
    <cellStyle name="60% - Accent2 2 2" xfId="145" xr:uid="{1910873C-DE82-46E0-B1A6-480318A6D32C}"/>
    <cellStyle name="60% - Accent2 2 3" xfId="146" xr:uid="{432EAF75-9EA7-4C4F-BB4D-EDDBDFA79A1A}"/>
    <cellStyle name="60% - Accent3 2" xfId="147" xr:uid="{99EAD97D-6CF9-46B0-ADA7-8892ED2963C3}"/>
    <cellStyle name="60% - Accent3 2 2" xfId="148" xr:uid="{92C2C0FA-0C16-4061-925C-866DDB4BB792}"/>
    <cellStyle name="60% - Accent3 2 3" xfId="149" xr:uid="{61243898-15B2-4752-A98E-8A45248CA6EE}"/>
    <cellStyle name="60% - Accent4 2" xfId="150" xr:uid="{6069B740-0774-4D82-8623-54721CE902C6}"/>
    <cellStyle name="60% - Accent4 2 2" xfId="151" xr:uid="{23CF77A0-4D53-40F4-A033-4768011C3A65}"/>
    <cellStyle name="60% - Accent4 2 3" xfId="152" xr:uid="{3E829F58-746D-4342-ABE1-1B2274226EDC}"/>
    <cellStyle name="60% - Accent5 2" xfId="153" xr:uid="{0A868634-472A-46C9-9DC5-71FFC02BA979}"/>
    <cellStyle name="60% - Accent5 2 2" xfId="154" xr:uid="{3B15CEC7-5082-4B14-95B4-BF71C26818A4}"/>
    <cellStyle name="60% - Accent6 2" xfId="155" xr:uid="{A5FBB3E9-DEE1-4E83-A54E-89F90C9896B9}"/>
    <cellStyle name="60% - Accent6 2 2" xfId="156" xr:uid="{2D300659-C3F2-4A8A-97C9-F41E78233600}"/>
    <cellStyle name="60% - Accent6 2 3" xfId="157" xr:uid="{076E588C-2AC6-4675-9DAC-C0EBCED49859}"/>
    <cellStyle name="60% - Акцент1" xfId="158" xr:uid="{C04DB194-C589-4651-A270-614B4F2DB5BF}"/>
    <cellStyle name="60% - Акцент1 2" xfId="159" xr:uid="{F9C98DEC-6B8E-4847-9AB7-FE1CD29B9347}"/>
    <cellStyle name="60% - Акцент1 2 2" xfId="160" xr:uid="{58D81762-974C-403D-8E30-1D8C7267085F}"/>
    <cellStyle name="60% - Акцент1 3" xfId="161" xr:uid="{DE0B4698-7D42-40B7-9774-910E0A8D6F11}"/>
    <cellStyle name="60% - Акцент2" xfId="162" xr:uid="{17DE9E36-2667-4E08-884D-4DAC573EEC50}"/>
    <cellStyle name="60% - Акцент2 2" xfId="163" xr:uid="{4C5AE3D5-13D5-484F-8FFC-E5FD2B963E57}"/>
    <cellStyle name="60% - Акцент2 2 2" xfId="164" xr:uid="{36ECB651-15DD-44A4-A14C-582BC1D4CCF0}"/>
    <cellStyle name="60% - Акцент2 3" xfId="165" xr:uid="{83A57AC9-3562-4DCD-B15F-AE0B47735A1E}"/>
    <cellStyle name="60% - Акцент3" xfId="166" xr:uid="{258006DD-3DC5-499B-9F66-422CD0CBBACA}"/>
    <cellStyle name="60% - Акцент3 2" xfId="167" xr:uid="{4EE0D80F-9896-498F-8C41-A6C90B626014}"/>
    <cellStyle name="60% - Акцент3 2 2" xfId="168" xr:uid="{E60A05FE-7BB2-47C0-A310-470919B9FBC0}"/>
    <cellStyle name="60% - Акцент3 3" xfId="169" xr:uid="{6C40DEC5-1B2B-430D-9198-D5092A94ED71}"/>
    <cellStyle name="60% - Акцент4" xfId="170" xr:uid="{531C4C17-A397-4054-9EBC-EE4688AC01C1}"/>
    <cellStyle name="60% - Акцент4 2" xfId="171" xr:uid="{1B873445-DB21-46A4-806E-079E1F1FFF65}"/>
    <cellStyle name="60% - Акцент4 2 2" xfId="172" xr:uid="{412AC4D2-46E7-4FB5-BD21-194CDEF2F1F5}"/>
    <cellStyle name="60% - Акцент4 3" xfId="173" xr:uid="{1B73EE35-A58B-40DB-970A-FFE3CCA7FEB2}"/>
    <cellStyle name="60% - Акцент5" xfId="174" xr:uid="{C2701008-D8C4-4D6A-A1E3-F6F587C4DAC9}"/>
    <cellStyle name="60% - Акцент5 2" xfId="175" xr:uid="{CD0060B8-FDEC-4134-AE8D-78BAFDE1DCC6}"/>
    <cellStyle name="60% - Акцент5 2 2" xfId="176" xr:uid="{A1E8B1EA-F24D-45C6-B10D-D304624AF891}"/>
    <cellStyle name="60% - Акцент5 3" xfId="177" xr:uid="{B8A01113-D90D-4FF2-8DD5-D90AB6C6AE81}"/>
    <cellStyle name="60% - Акцент6" xfId="178" xr:uid="{39BFACB4-6C41-4684-B59B-1932B05E74F5}"/>
    <cellStyle name="60% - Акцент6 2" xfId="179" xr:uid="{EAA738F6-945C-465B-BA67-56B720AF6BB8}"/>
    <cellStyle name="60% - Акцент6 2 2" xfId="180" xr:uid="{A96C2C14-4456-43F9-A527-BF67D065787D}"/>
    <cellStyle name="60% - Акцент6 3" xfId="181" xr:uid="{10457F7A-E9CF-43FC-8AEE-25E94B0B127E}"/>
    <cellStyle name="60% no 1. izcēluma" xfId="182" xr:uid="{C346EFFC-53FE-416E-A561-0FAE60221D95}"/>
    <cellStyle name="60% no 1. izcēluma 2" xfId="183" xr:uid="{F19816E7-5DA2-41DB-B700-DEC7B2CA351C}"/>
    <cellStyle name="60% no 2. izcēluma" xfId="184" xr:uid="{0D5C70F9-E864-41DA-98E7-2E5924EE0FDC}"/>
    <cellStyle name="60% no 2. izcēluma 2" xfId="185" xr:uid="{8317434F-FE39-4A35-A490-2DFDB0B05920}"/>
    <cellStyle name="60% no 3. izcēluma" xfId="186" xr:uid="{B3F4FA06-DC55-4C15-83AB-83FA16A40DFC}"/>
    <cellStyle name="60% no 3. izcēluma 2" xfId="187" xr:uid="{0F22452D-DABA-49F5-8E24-A066F2A5DE39}"/>
    <cellStyle name="60% no 4. izcēluma" xfId="188" xr:uid="{F33ECAAB-6BFB-4272-962C-4A9DECDE1E95}"/>
    <cellStyle name="60% no 4. izcēluma 2" xfId="189" xr:uid="{94E0E59A-4804-492B-AED0-0EF3F4411DE3}"/>
    <cellStyle name="60% no 5. izcēluma" xfId="190" xr:uid="{5FDE8824-F490-488E-A9F1-A35FC4CE4075}"/>
    <cellStyle name="60% no 5. izcēluma 2" xfId="191" xr:uid="{2B6F36F8-364D-4A84-8A3B-E42D89AA06F2}"/>
    <cellStyle name="60% no 6. izcēluma" xfId="192" xr:uid="{F40ED785-A97F-4CF3-8251-50280B6DE3E7}"/>
    <cellStyle name="60% no 6. izcēluma 2" xfId="193" xr:uid="{2F70CB98-0A39-4EF2-9FCB-90D24B995549}"/>
    <cellStyle name="Äåķåęķūé [0]_laroux" xfId="194" xr:uid="{8BAE55E8-59AA-40A3-AFE6-CB13C5FEEEC4}"/>
    <cellStyle name="Äåķåęķūé_laroux" xfId="195" xr:uid="{D2FE4F77-A016-4778-8FC0-1130A7C80335}"/>
    <cellStyle name="Accent1 2" xfId="196" xr:uid="{2B29BBA5-022F-4A56-ADFF-D79C9E341B13}"/>
    <cellStyle name="Accent1 2 2" xfId="197" xr:uid="{78AFB578-B171-4A65-8551-5CB84BB7F1E7}"/>
    <cellStyle name="Accent1 2 3" xfId="198" xr:uid="{8D1BCBBC-FA59-4462-8D8B-2B885AB635FB}"/>
    <cellStyle name="Accent2 2" xfId="199" xr:uid="{85EFD051-FF1B-4740-85D6-117398620C11}"/>
    <cellStyle name="Accent2 2 2" xfId="200" xr:uid="{C1C9B480-B61C-45E6-87DF-7FCCDCA3B99A}"/>
    <cellStyle name="Accent3 2" xfId="201" xr:uid="{39B40A55-11A1-4172-8E3E-0F69BDC2B0FC}"/>
    <cellStyle name="Accent3 2 2" xfId="202" xr:uid="{790FACCA-9AD5-4623-895F-D79CFF912F14}"/>
    <cellStyle name="Accent3 2 3" xfId="203" xr:uid="{0C1E11F2-EBBE-4B88-8C76-E0E27FC4FF08}"/>
    <cellStyle name="Accent4 2" xfId="204" xr:uid="{AACE0900-15DA-4D1C-AAE2-8F4D77069675}"/>
    <cellStyle name="Accent4 2 2" xfId="205" xr:uid="{41A081A1-09FB-4152-B8CE-91EEDDDB57CC}"/>
    <cellStyle name="Accent4 2 3" xfId="206" xr:uid="{A78A28C1-8543-4005-9A16-35314A5DBA62}"/>
    <cellStyle name="Accent5 2" xfId="207" xr:uid="{F0219DC9-0502-4557-BA2C-669949A38426}"/>
    <cellStyle name="Accent5 2 2" xfId="208" xr:uid="{42AE11DD-9CEA-40C1-8D4B-35F51879DB14}"/>
    <cellStyle name="Accent6 2" xfId="209" xr:uid="{A3A94B5B-398F-44A7-9F1F-384C9A392605}"/>
    <cellStyle name="Accent6 2 2" xfId="210" xr:uid="{AE390FB0-C448-49A4-BA9C-69C5FB613E9D}"/>
    <cellStyle name="Accent6 2 3" xfId="211" xr:uid="{BAD085AE-F5E7-41C2-A446-3C1A21FACAE9}"/>
    <cellStyle name="Aprēķināšana 2" xfId="212" xr:uid="{A127059B-F1B9-4E18-825A-0F103FDE9A63}"/>
    <cellStyle name="Aprēķināšana 3" xfId="213" xr:uid="{A206A14F-1B47-445F-8C8D-63C4BE9701EF}"/>
    <cellStyle name="Atdalītāji 2 2" xfId="214" xr:uid="{D3A191D9-B3CF-45E9-9E7D-341DB832AAD8}"/>
    <cellStyle name="Bad 2" xfId="215" xr:uid="{CF707C3B-E0AC-4445-9714-71D4D9931597}"/>
    <cellStyle name="Bad 2 2" xfId="216" xr:uid="{C80BB4D3-0EB0-4E84-9AE1-0541CFBFE447}"/>
    <cellStyle name="Brīdinājuma teksts 2" xfId="217" xr:uid="{C4B6819A-A32E-4605-ABCD-5590DBE9983A}"/>
    <cellStyle name="Calculation 2" xfId="218" xr:uid="{18D33E2A-12DD-4004-BAD6-D57259339482}"/>
    <cellStyle name="Calculation 2 2" xfId="219" xr:uid="{D7AF2644-7FAE-4B47-A6E4-2CF088A87FAB}"/>
    <cellStyle name="Check Cell 2" xfId="220" xr:uid="{52117F51-1326-44AF-B3E4-DCAD679265AF}"/>
    <cellStyle name="Comma 10" xfId="222" xr:uid="{693B844D-2DEF-408D-B5B3-B6C91AE06ABA}"/>
    <cellStyle name="Comma 10 2" xfId="223" xr:uid="{7221CD48-7151-48F2-A5D3-45C9240FF244}"/>
    <cellStyle name="Comma 10 2 2" xfId="224" xr:uid="{4DE2DA50-8DC7-46C8-893E-1E4FF13F37B0}"/>
    <cellStyle name="Comma 10 2 2 2" xfId="225" xr:uid="{B9322C80-48B7-4C44-AC27-CA73AF137C33}"/>
    <cellStyle name="Comma 10 2 2 2 2" xfId="226" xr:uid="{0EBB8B04-05E9-4F48-82F2-197518F7142F}"/>
    <cellStyle name="Comma 10 2 2 2 3" xfId="227" xr:uid="{1AD2F631-480B-4057-86C4-C48A303B73A0}"/>
    <cellStyle name="Comma 10 2 2 3" xfId="228" xr:uid="{0912DBEB-92C2-46A0-B739-B5C5FBDB4A19}"/>
    <cellStyle name="Comma 10 2 2 4" xfId="229" xr:uid="{4410271D-8C30-454D-A77D-C7F7DF0A6CF7}"/>
    <cellStyle name="Comma 10 2 3" xfId="230" xr:uid="{C2B63BD9-6A43-4FA3-9358-83BF33506605}"/>
    <cellStyle name="Comma 10 2 3 2" xfId="231" xr:uid="{4D77FC60-55A5-4EC0-ADD3-8AD0A786E9FA}"/>
    <cellStyle name="Comma 10 2 3 3" xfId="232" xr:uid="{7DC1D168-B950-4986-B545-5ADC5AF402C3}"/>
    <cellStyle name="Comma 10 2 4" xfId="233" xr:uid="{FD452D26-BED1-445A-A27F-D7026A17A703}"/>
    <cellStyle name="Comma 10 2 5" xfId="234" xr:uid="{47B6C5BC-0384-476D-9F37-7FCD0212EF42}"/>
    <cellStyle name="Comma 10 3" xfId="235" xr:uid="{541064D2-EFD9-45FB-9A92-C43719E98EE1}"/>
    <cellStyle name="Comma 10 3 2" xfId="236" xr:uid="{9776928C-A766-4742-A321-8A0BBB10F868}"/>
    <cellStyle name="Comma 10 3 2 2" xfId="237" xr:uid="{DABB1C67-8921-4A9E-8819-0FDC3A40A72B}"/>
    <cellStyle name="Comma 10 3 2 3" xfId="238" xr:uid="{BB0CCF8B-57A3-4348-9391-81AAC1731799}"/>
    <cellStyle name="Comma 10 3 3" xfId="239" xr:uid="{229664A2-04AB-4C46-843F-C3DFDE28877F}"/>
    <cellStyle name="Comma 10 3 4" xfId="240" xr:uid="{FAF5A31C-DCF1-426C-9CAC-936A8C077712}"/>
    <cellStyle name="Comma 10 4" xfId="241" xr:uid="{FBF45E51-7AA3-49F6-BB31-B9EC9BA51A32}"/>
    <cellStyle name="Comma 10 4 2" xfId="242" xr:uid="{EA5C106D-CDF0-45C0-B58C-D27C6699CA2D}"/>
    <cellStyle name="Comma 10 4 3" xfId="243" xr:uid="{CDF902FE-8398-42A4-BBBE-08D93D93F408}"/>
    <cellStyle name="Comma 10 5" xfId="244" xr:uid="{20C11377-313E-4274-8166-E3F65BDC1874}"/>
    <cellStyle name="Comma 10 6" xfId="245" xr:uid="{590862D8-BFEF-47EB-BF2C-8B48CE373038}"/>
    <cellStyle name="Comma 11" xfId="246" xr:uid="{E025B9A7-8AC8-48BF-B196-480FC1564546}"/>
    <cellStyle name="Comma 11 2" xfId="247" xr:uid="{E0E081B6-7EF9-4854-A606-79F8FBFE7381}"/>
    <cellStyle name="Comma 11 2 2" xfId="248" xr:uid="{5A9AA685-8CC5-4ABD-975A-AFDC17E16EAD}"/>
    <cellStyle name="Comma 11 2 2 2" xfId="249" xr:uid="{CFE266AD-6B87-4DEB-BBD1-38E7D22DA842}"/>
    <cellStyle name="Comma 11 2 2 3" xfId="250" xr:uid="{EDB111F3-B55A-402A-A978-624580A84B9E}"/>
    <cellStyle name="Comma 11 2 3" xfId="251" xr:uid="{74981BEB-C622-4266-94C1-57BE46B7D763}"/>
    <cellStyle name="Comma 11 2 4" xfId="252" xr:uid="{C95F4A1C-BF0A-4632-AC70-852721BA8CE1}"/>
    <cellStyle name="Comma 11 3" xfId="253" xr:uid="{43564C10-0D45-443F-9FE7-58CEF2CE1478}"/>
    <cellStyle name="Comma 11 3 2" xfId="254" xr:uid="{0D1F6F97-EA02-49A7-8CCC-91C771C6A212}"/>
    <cellStyle name="Comma 11 3 3" xfId="255" xr:uid="{7F592236-A897-459D-927F-D8BC9D5E1A62}"/>
    <cellStyle name="Comma 11 4" xfId="256" xr:uid="{496EA860-A5DB-4B53-9F05-BB88033DDF2C}"/>
    <cellStyle name="Comma 11 5" xfId="257" xr:uid="{CBD56927-839B-46F6-9EB0-4FFD3933781A}"/>
    <cellStyle name="Comma 12" xfId="258" xr:uid="{36535B8D-CE16-4237-A038-9FE72316AAC3}"/>
    <cellStyle name="Comma 12 2" xfId="259" xr:uid="{6C9EAA62-DD1A-43F4-900D-8FCB56DC76CC}"/>
    <cellStyle name="Comma 12 2 2" xfId="260" xr:uid="{D784C6CE-BE07-48E9-B732-B319A9A469A6}"/>
    <cellStyle name="Comma 12 2 3" xfId="261" xr:uid="{64649205-5151-4DA7-A4CC-4503362F63F1}"/>
    <cellStyle name="Comma 12 3" xfId="262" xr:uid="{45672578-9265-4BAD-8C99-756557046D1F}"/>
    <cellStyle name="Comma 12 4" xfId="263" xr:uid="{E9CE971F-FFCB-495C-AAAE-E1FCA4D5C9AE}"/>
    <cellStyle name="Comma 13" xfId="264" xr:uid="{11AF3255-6B3C-4AEF-92A0-18ABC3817472}"/>
    <cellStyle name="Comma 13 2" xfId="265" xr:uid="{D5088F77-2F46-4497-A753-8ECF39BAA3C9}"/>
    <cellStyle name="Comma 13 3" xfId="266" xr:uid="{CF62990F-A2E8-4F35-B08D-0C2B0648D662}"/>
    <cellStyle name="Comma 14" xfId="267" xr:uid="{1CD8B304-DE21-470B-BF92-C5B0F6E47848}"/>
    <cellStyle name="Comma 15" xfId="268" xr:uid="{82FFE062-5864-4D4C-9216-DE437F69C948}"/>
    <cellStyle name="Comma 2" xfId="269" xr:uid="{6738E2F2-4F42-4E0C-8481-77B85D444485}"/>
    <cellStyle name="Comma 2 10" xfId="270" xr:uid="{14920C9B-C256-4761-8B0A-D72762902AF5}"/>
    <cellStyle name="Comma 2 11" xfId="271" xr:uid="{85444F63-9AA9-46EF-9FB1-D16BD23524DC}"/>
    <cellStyle name="Comma 2 12" xfId="272" xr:uid="{E0BBFD5D-0548-4EE1-ABDB-7F76AD198607}"/>
    <cellStyle name="Comma 2 2" xfId="273" xr:uid="{7E836ACF-D3A2-4B93-8CB8-32105254AB47}"/>
    <cellStyle name="Comma 2 2 10" xfId="274" xr:uid="{32EB9A98-59F1-4963-8E40-FEEF7D9451AB}"/>
    <cellStyle name="Comma 2 2 11" xfId="275" xr:uid="{65A3AE0D-3417-4929-BFCA-363B4714F3AD}"/>
    <cellStyle name="Comma 2 2 2" xfId="276" xr:uid="{E6CBC42B-F4E0-48F7-BCC2-D735C5A98732}"/>
    <cellStyle name="Comma 2 2 2 2" xfId="277" xr:uid="{32EE2C5D-2A2C-46C9-959B-07A1AE895598}"/>
    <cellStyle name="Comma 2 2 2 2 2" xfId="278" xr:uid="{6A3D3FD1-4126-4F1C-B8D3-22DADEA7D3F2}"/>
    <cellStyle name="Comma 2 2 2 2 2 2" xfId="279" xr:uid="{EA25D3E0-2E0A-453C-BEE0-A5E22E29E955}"/>
    <cellStyle name="Comma 2 2 2 2 2 2 2" xfId="280" xr:uid="{4FD28A87-7260-4AB7-8892-8773835852F3}"/>
    <cellStyle name="Comma 2 2 2 2 2 2 3" xfId="281" xr:uid="{3C5F7E0B-83C8-4B0F-866A-1242EC5389BD}"/>
    <cellStyle name="Comma 2 2 2 2 2 3" xfId="282" xr:uid="{0EB6A31E-13FE-472D-8607-DD6D8EAA9A6F}"/>
    <cellStyle name="Comma 2 2 2 2 2 4" xfId="283" xr:uid="{A866F3FF-CA73-45B3-AFF2-7B43284E0A82}"/>
    <cellStyle name="Comma 2 2 2 2 3" xfId="284" xr:uid="{3721DEFB-76FA-404F-84C0-D45FCC98C0B9}"/>
    <cellStyle name="Comma 2 2 2 2 3 2" xfId="285" xr:uid="{1CF0E0C5-1684-4570-8385-0089F502C768}"/>
    <cellStyle name="Comma 2 2 2 2 3 3" xfId="286" xr:uid="{2E76F792-781D-4F90-9EBD-89808FE96AF7}"/>
    <cellStyle name="Comma 2 2 2 2 4" xfId="287" xr:uid="{6E7C97DC-A06F-4019-A8BF-B224C2F366B8}"/>
    <cellStyle name="Comma 2 2 2 2 5" xfId="288" xr:uid="{AF5A6A77-17FB-4F5C-B470-205D04D8CC31}"/>
    <cellStyle name="Comma 2 2 2 2 6" xfId="289" xr:uid="{33536DBA-E7FD-4E30-B96A-6486F326B54B}"/>
    <cellStyle name="Comma 2 2 2 2 7" xfId="290" xr:uid="{45D73D8D-B05D-4DBC-BCD8-4068D1CB5559}"/>
    <cellStyle name="Comma 2 2 2 3" xfId="291" xr:uid="{DEB3CB2D-AE9F-44D7-BF45-284131B2DA30}"/>
    <cellStyle name="Comma 2 2 2 3 2" xfId="292" xr:uid="{9C0E6614-4894-4A66-AECB-B7C07D19736B}"/>
    <cellStyle name="Comma 2 2 2 3 2 2" xfId="293" xr:uid="{8A457217-7D8E-42D6-AFD9-ACB23BB90A7C}"/>
    <cellStyle name="Comma 2 2 2 3 2 2 2" xfId="294" xr:uid="{150D8859-12D8-4685-B977-977E1EDBD4F5}"/>
    <cellStyle name="Comma 2 2 2 3 2 2 3" xfId="295" xr:uid="{81C907E6-1FAA-4D3C-825A-6F21F620D090}"/>
    <cellStyle name="Comma 2 2 2 3 2 3" xfId="296" xr:uid="{56DA0DE8-AD02-4BE8-8E3D-582730A8B82D}"/>
    <cellStyle name="Comma 2 2 2 3 2 4" xfId="297" xr:uid="{6EEC6698-CB8D-4F79-94EF-09353C777004}"/>
    <cellStyle name="Comma 2 2 2 3 3" xfId="298" xr:uid="{331DA289-F376-4D9B-82E7-69BC84CE9A43}"/>
    <cellStyle name="Comma 2 2 2 3 3 2" xfId="299" xr:uid="{71F93264-7925-4CDD-92DE-140485E00F32}"/>
    <cellStyle name="Comma 2 2 2 3 3 3" xfId="300" xr:uid="{6D5174A8-8BB8-4EC7-AA8C-805249476409}"/>
    <cellStyle name="Comma 2 2 2 3 4" xfId="301" xr:uid="{088226BD-B1D8-4505-B596-A6118C92C331}"/>
    <cellStyle name="Comma 2 2 2 3 5" xfId="302" xr:uid="{925CE6F5-039F-4C1B-BD22-9C72EC50D2EE}"/>
    <cellStyle name="Comma 2 2 2 3 6" xfId="303" xr:uid="{C7FD4745-874C-4283-ABA6-E05166495512}"/>
    <cellStyle name="Comma 2 2 2 4" xfId="304" xr:uid="{C50AAAC7-DD62-428F-87FB-9A763B14335D}"/>
    <cellStyle name="Comma 2 2 2 4 2" xfId="305" xr:uid="{5E5F9801-4CD1-4378-BB3F-B957A1E5B84D}"/>
    <cellStyle name="Comma 2 2 2 4 2 2" xfId="306" xr:uid="{50BF9B54-1BA9-4B1A-9158-047496C1F1DA}"/>
    <cellStyle name="Comma 2 2 2 4 2 3" xfId="307" xr:uid="{C4F64276-53C6-4917-A9F4-721681F2D045}"/>
    <cellStyle name="Comma 2 2 2 4 3" xfId="308" xr:uid="{11C77FE5-6FCD-4A8A-A0D4-20EAECCD30DC}"/>
    <cellStyle name="Comma 2 2 2 4 4" xfId="309" xr:uid="{BA2F5038-C711-46FC-BD47-74F7732482C6}"/>
    <cellStyle name="Comma 2 2 2 5" xfId="310" xr:uid="{A026A86A-2139-4D34-87D3-624C8EAD1051}"/>
    <cellStyle name="Comma 2 2 2 5 2" xfId="311" xr:uid="{AA750FDD-3C96-4633-9E03-7D0FC1582A55}"/>
    <cellStyle name="Comma 2 2 2 5 3" xfId="312" xr:uid="{5481D9D5-D6DF-4565-B20B-D8A6C674A26E}"/>
    <cellStyle name="Comma 2 2 2 6" xfId="313" xr:uid="{D6617CFB-FC40-4287-AB53-FCEA8ECD54D1}"/>
    <cellStyle name="Comma 2 2 2 7" xfId="314" xr:uid="{92406300-B50D-4F49-B5A2-D944132A9F91}"/>
    <cellStyle name="Comma 2 2 2 8" xfId="315" xr:uid="{A037E813-D5D2-4F94-82C4-A9AF3ACA3064}"/>
    <cellStyle name="Comma 2 2 3" xfId="316" xr:uid="{6B50623C-78E3-466F-8B72-885D8834BA25}"/>
    <cellStyle name="Comma 2 2 3 2" xfId="317" xr:uid="{B4131232-989B-4047-A7B8-B6EA2304C607}"/>
    <cellStyle name="Comma 2 2 3 2 2" xfId="318" xr:uid="{5C20D066-75C7-4DAB-B3B5-5907DC9E252F}"/>
    <cellStyle name="Comma 2 2 3 2 2 2" xfId="319" xr:uid="{18BAE235-CFA1-4E32-BAEA-3976C92A57AE}"/>
    <cellStyle name="Comma 2 2 3 2 2 2 2" xfId="320" xr:uid="{AE64D62B-0BA1-4712-9978-EC5DB1D9771C}"/>
    <cellStyle name="Comma 2 2 3 2 2 2 3" xfId="321" xr:uid="{5A469736-6874-4906-A5B7-486ED62136E0}"/>
    <cellStyle name="Comma 2 2 3 2 2 3" xfId="322" xr:uid="{D239B570-8291-4D9F-93BB-082B1073BAA8}"/>
    <cellStyle name="Comma 2 2 3 2 2 4" xfId="323" xr:uid="{71D91C32-38B0-4151-B1C9-6EAE2E7038DB}"/>
    <cellStyle name="Comma 2 2 3 2 3" xfId="324" xr:uid="{278EAFC9-A113-4533-AF10-4B6913397FAE}"/>
    <cellStyle name="Comma 2 2 3 2 3 2" xfId="325" xr:uid="{8FDE0E38-A98B-418A-8410-F4C05F31ECAF}"/>
    <cellStyle name="Comma 2 2 3 2 3 3" xfId="326" xr:uid="{7EC197F2-1E8D-4785-A676-0BE901B6A6DE}"/>
    <cellStyle name="Comma 2 2 3 2 4" xfId="327" xr:uid="{CDFFD47C-3155-4519-844F-8F7AC6C48FC8}"/>
    <cellStyle name="Comma 2 2 3 2 5" xfId="328" xr:uid="{D133169E-3471-4163-BF88-AA8838CC09E3}"/>
    <cellStyle name="Comma 2 2 3 3" xfId="329" xr:uid="{BC3FBB55-C093-4466-A728-B79E84BD202E}"/>
    <cellStyle name="Comma 2 2 3 3 2" xfId="330" xr:uid="{A770E7C5-C5F2-497E-BC18-5F70D90A8615}"/>
    <cellStyle name="Comma 2 2 3 3 2 2" xfId="331" xr:uid="{5663CD9C-6A6C-49AF-AAC2-A0F9AF6FE961}"/>
    <cellStyle name="Comma 2 2 3 3 2 3" xfId="332" xr:uid="{430EE29F-AD3E-41C8-8D04-2CFE0B9995A0}"/>
    <cellStyle name="Comma 2 2 3 3 3" xfId="333" xr:uid="{BE3A8E72-8F0E-479B-9C7E-24EA48FEBB45}"/>
    <cellStyle name="Comma 2 2 3 3 4" xfId="334" xr:uid="{A85DF119-AF3A-4467-A76A-8E290E1024DC}"/>
    <cellStyle name="Comma 2 2 3 4" xfId="335" xr:uid="{C0D9B264-C705-4EF1-9CFC-7B584701A1D7}"/>
    <cellStyle name="Comma 2 2 3 4 2" xfId="336" xr:uid="{64F45FA6-66A3-4299-B4A8-B67EED10CE7F}"/>
    <cellStyle name="Comma 2 2 3 4 3" xfId="337" xr:uid="{DABF84FC-FE96-4D3F-B01C-FE8EA87B4C24}"/>
    <cellStyle name="Comma 2 2 3 5" xfId="338" xr:uid="{AB035777-320E-4C6B-A13F-11B7BE6342E4}"/>
    <cellStyle name="Comma 2 2 3 6" xfId="339" xr:uid="{4D93654F-8F6F-4D50-85E2-F773CFE71FB2}"/>
    <cellStyle name="Comma 2 2 3 7" xfId="340" xr:uid="{F0B20620-D659-405F-A5ED-0A934AAAE610}"/>
    <cellStyle name="Comma 2 2 3 8" xfId="341" xr:uid="{EEBAF597-3922-480E-9A1A-105C8C4A3B3E}"/>
    <cellStyle name="Comma 2 2 4" xfId="342" xr:uid="{5D6AB814-1488-491F-9210-8CDA3E016C15}"/>
    <cellStyle name="Comma 2 2 4 2" xfId="343" xr:uid="{8D2CB81A-9220-491A-AF07-59E79F972FF1}"/>
    <cellStyle name="Comma 2 2 4 2 2" xfId="344" xr:uid="{678DDD62-7EEC-4EA3-AD54-A7D997D3EC7D}"/>
    <cellStyle name="Comma 2 2 4 2 2 2" xfId="345" xr:uid="{2BB9CC4C-E36F-437E-B1D5-21977A2A202A}"/>
    <cellStyle name="Comma 2 2 4 2 2 2 2" xfId="346" xr:uid="{C5DABA79-2890-409A-838D-02B3EE8B0C01}"/>
    <cellStyle name="Comma 2 2 4 2 2 2 3" xfId="347" xr:uid="{85704188-0444-44C2-8528-E0E0E64DA6AA}"/>
    <cellStyle name="Comma 2 2 4 2 2 3" xfId="348" xr:uid="{A58CB616-AF3B-4E6E-A3AB-8C9D2E187661}"/>
    <cellStyle name="Comma 2 2 4 2 2 4" xfId="349" xr:uid="{88CF1C48-5A9A-4221-BA26-8ABD37B087A1}"/>
    <cellStyle name="Comma 2 2 4 2 3" xfId="350" xr:uid="{98BAB4C7-6929-4F38-ABAB-DB8C957FD790}"/>
    <cellStyle name="Comma 2 2 4 2 3 2" xfId="351" xr:uid="{0C304E87-93D2-42FB-9B3A-D3F4B64C75C2}"/>
    <cellStyle name="Comma 2 2 4 2 3 3" xfId="352" xr:uid="{678C8702-6F79-4212-9F10-5DD116A46860}"/>
    <cellStyle name="Comma 2 2 4 2 4" xfId="353" xr:uid="{78A240E6-4FAA-40A1-ADB8-7261AD0C1608}"/>
    <cellStyle name="Comma 2 2 4 2 5" xfId="354" xr:uid="{2A0F9FC7-1B79-463E-A407-DA850F5E02AD}"/>
    <cellStyle name="Comma 2 2 4 3" xfId="355" xr:uid="{FB4652CF-BDE4-4917-909F-FE956D571784}"/>
    <cellStyle name="Comma 2 2 4 3 2" xfId="356" xr:uid="{78148220-D350-48B0-A022-96EC0165DDA9}"/>
    <cellStyle name="Comma 2 2 4 3 2 2" xfId="357" xr:uid="{EDB032B2-4457-4838-A03A-F1AFBF26F305}"/>
    <cellStyle name="Comma 2 2 4 3 2 3" xfId="358" xr:uid="{0DB6B147-2AE3-408C-A7CB-4FCA3D4C33DD}"/>
    <cellStyle name="Comma 2 2 4 3 3" xfId="359" xr:uid="{DF549563-8231-4D57-AA92-9D2478608298}"/>
    <cellStyle name="Comma 2 2 4 3 4" xfId="360" xr:uid="{A96F7579-B310-4A72-8F7C-6240B36F846B}"/>
    <cellStyle name="Comma 2 2 4 4" xfId="361" xr:uid="{8711747B-047F-4F6F-93D6-9B027A77ABF5}"/>
    <cellStyle name="Comma 2 2 4 4 2" xfId="362" xr:uid="{F41173C8-B766-4B32-9909-916C57ED0A85}"/>
    <cellStyle name="Comma 2 2 4 4 3" xfId="363" xr:uid="{A187645B-7785-447C-8ADD-13C9103E9D3A}"/>
    <cellStyle name="Comma 2 2 4 5" xfId="364" xr:uid="{2C92E895-4065-43D6-A8DB-35BAA10CA001}"/>
    <cellStyle name="Comma 2 2 4 6" xfId="365" xr:uid="{0CA786B9-F79B-460C-82AA-DA9EDD89C0CB}"/>
    <cellStyle name="Comma 2 2 4 7" xfId="366" xr:uid="{4D4B8D73-6344-4443-A203-35C4996FBF88}"/>
    <cellStyle name="Comma 2 2 5" xfId="367" xr:uid="{675AAD35-CD97-4536-9FC7-41EC05224A0E}"/>
    <cellStyle name="Comma 2 2 5 2" xfId="368" xr:uid="{F7505191-50CE-45AE-8FB7-8DE673BB5133}"/>
    <cellStyle name="Comma 2 2 5 2 2" xfId="369" xr:uid="{0302C181-50C8-484E-A21F-581D064F055D}"/>
    <cellStyle name="Comma 2 2 5 2 2 2" xfId="370" xr:uid="{1F750E42-792A-4F76-8C59-F61A5BA27D0F}"/>
    <cellStyle name="Comma 2 2 5 2 2 3" xfId="371" xr:uid="{FBD98F6D-B8D5-4DF5-A99E-561A9C364261}"/>
    <cellStyle name="Comma 2 2 5 2 3" xfId="372" xr:uid="{634C1C71-D06A-4740-BCD1-AE8F0AAAC106}"/>
    <cellStyle name="Comma 2 2 5 2 4" xfId="373" xr:uid="{9E79CAA2-B2C3-4AC3-B64D-86CC29FD3B7D}"/>
    <cellStyle name="Comma 2 2 5 3" xfId="374" xr:uid="{D0479FDE-1DE1-4F94-8FDD-632323D7A0E3}"/>
    <cellStyle name="Comma 2 2 5 3 2" xfId="375" xr:uid="{3D557B43-C115-41B2-80CD-4EF63FBD37AA}"/>
    <cellStyle name="Comma 2 2 5 3 3" xfId="376" xr:uid="{975D5ED7-27AB-4657-8956-F64330576498}"/>
    <cellStyle name="Comma 2 2 5 4" xfId="377" xr:uid="{ED5434C3-CD0B-4EAC-B1BC-4061CFBC9B3D}"/>
    <cellStyle name="Comma 2 2 5 5" xfId="378" xr:uid="{F3611481-E1ED-4E5B-BBCF-EB556B755DD0}"/>
    <cellStyle name="Comma 2 2 6" xfId="379" xr:uid="{C98765D2-FF71-454C-ADDE-93C28813A3F8}"/>
    <cellStyle name="Comma 2 2 6 2" xfId="380" xr:uid="{53FA8F87-7608-449B-9956-B6F13EEDC881}"/>
    <cellStyle name="Comma 2 2 6 2 2" xfId="381" xr:uid="{DE56014B-EB92-4654-B18D-398535AF8C6C}"/>
    <cellStyle name="Comma 2 2 6 2 2 2" xfId="382" xr:uid="{48AFC330-7B96-4DC4-86AE-5A4D970B2333}"/>
    <cellStyle name="Comma 2 2 6 2 2 3" xfId="383" xr:uid="{F3C6004C-EEE1-4B6E-A661-5CD3A85230AC}"/>
    <cellStyle name="Comma 2 2 6 2 3" xfId="384" xr:uid="{9364000F-213A-4FFF-9DFE-8678EFC86CBD}"/>
    <cellStyle name="Comma 2 2 6 2 4" xfId="385" xr:uid="{B3449F65-169C-44D6-A751-637A25DCADD0}"/>
    <cellStyle name="Comma 2 2 6 3" xfId="386" xr:uid="{2ED1622A-98F2-45CE-95B5-07B13CDBB83A}"/>
    <cellStyle name="Comma 2 2 6 3 2" xfId="387" xr:uid="{274FD102-19D5-475E-8F01-6E16F4C73BFB}"/>
    <cellStyle name="Comma 2 2 6 3 3" xfId="388" xr:uid="{72C2AA3F-0E0F-48E2-8CA1-D760FF1D9F1F}"/>
    <cellStyle name="Comma 2 2 6 4" xfId="389" xr:uid="{D8E25629-A4EB-4D11-AAE6-675E1396CBF4}"/>
    <cellStyle name="Comma 2 2 6 5" xfId="390" xr:uid="{ECD01FC1-D074-4C52-A6FB-E53464B41E91}"/>
    <cellStyle name="Comma 2 2 7" xfId="391" xr:uid="{30514CE5-5159-4F81-A0A8-6156E24E30C2}"/>
    <cellStyle name="Comma 2 2 7 2" xfId="392" xr:uid="{0C23B6FD-2371-4B3D-93E9-36BEEF8DE4F1}"/>
    <cellStyle name="Comma 2 2 7 2 2" xfId="393" xr:uid="{551EDC4C-5A27-4F81-AFAA-E0A11FDD86B8}"/>
    <cellStyle name="Comma 2 2 7 2 3" xfId="394" xr:uid="{ED4A1300-F87E-45D0-A066-0FFF6EF39F77}"/>
    <cellStyle name="Comma 2 2 7 3" xfId="395" xr:uid="{56F90D8F-E1EA-49E9-8A04-716109FB832B}"/>
    <cellStyle name="Comma 2 2 7 4" xfId="396" xr:uid="{AA0DB8FB-A3F6-4E05-A5A8-D149AC6F19E4}"/>
    <cellStyle name="Comma 2 2 8" xfId="397" xr:uid="{7CAB0FAD-F768-4C6C-87BC-B3E6A94E27AF}"/>
    <cellStyle name="Comma 2 2 8 2" xfId="398" xr:uid="{5AA7AA8A-B80B-460B-BF95-73A602C80DAB}"/>
    <cellStyle name="Comma 2 2 8 3" xfId="399" xr:uid="{595CDE1F-41D3-4BE1-9D46-6981A6C7B9B5}"/>
    <cellStyle name="Comma 2 2 9" xfId="400" xr:uid="{D3AA529E-85A7-4D41-BF82-156FBAAECEB9}"/>
    <cellStyle name="Comma 2 3" xfId="401" xr:uid="{B3D5C20F-A8D0-41C5-A211-E94CC754EAF6}"/>
    <cellStyle name="Comma 2 3 10" xfId="402" xr:uid="{DBF2C22D-6B72-4A80-9C00-A18B22A098E4}"/>
    <cellStyle name="Comma 2 3 11" xfId="403" xr:uid="{BBDBA0A5-12BE-4000-AB34-8B32946CCE59}"/>
    <cellStyle name="Comma 2 3 12" xfId="404" xr:uid="{0418D21F-821B-4BFD-A8E6-C785A5B15869}"/>
    <cellStyle name="Comma 2 3 2" xfId="405" xr:uid="{902730A5-DD01-4A9C-AAFF-ECEC5B515701}"/>
    <cellStyle name="Comma 2 3 2 10" xfId="406" xr:uid="{0DEF6FAA-38ED-40A1-BB82-76F5C3D371D7}"/>
    <cellStyle name="Comma 2 3 2 11" xfId="407" xr:uid="{164D2780-6E1F-465B-9248-05054C4297E4}"/>
    <cellStyle name="Comma 2 3 2 2" xfId="408" xr:uid="{350E2A82-89F2-4483-B389-9D70C910A371}"/>
    <cellStyle name="Comma 2 3 2 2 2" xfId="409" xr:uid="{E0B6D12D-74B5-4005-8578-836E1281323C}"/>
    <cellStyle name="Comma 2 3 2 2 2 2" xfId="410" xr:uid="{24974DCC-38DD-4DE1-BEFE-59CD4A14F7EF}"/>
    <cellStyle name="Comma 2 3 2 2 2 2 2" xfId="411" xr:uid="{D7F62D70-CDF4-440E-85F1-E5969DFD4894}"/>
    <cellStyle name="Comma 2 3 2 2 2 2 2 2" xfId="412" xr:uid="{56F36304-12EB-4A3E-9260-F55F106B53D4}"/>
    <cellStyle name="Comma 2 3 2 2 2 2 2 3" xfId="413" xr:uid="{BBC22039-0487-443E-AA97-DE56EA12BF7B}"/>
    <cellStyle name="Comma 2 3 2 2 2 2 3" xfId="414" xr:uid="{59DDCA94-BEC0-4C35-9CB7-6854875907D6}"/>
    <cellStyle name="Comma 2 3 2 2 2 2 4" xfId="415" xr:uid="{67E8A519-2BF9-4B3A-A8D8-35E9E94D0F06}"/>
    <cellStyle name="Comma 2 3 2 2 2 3" xfId="416" xr:uid="{CCE8392F-B63F-499A-BB34-57B76732DCB5}"/>
    <cellStyle name="Comma 2 3 2 2 2 3 2" xfId="417" xr:uid="{29C95759-BC83-4E19-8984-F4449F3D8A6A}"/>
    <cellStyle name="Comma 2 3 2 2 2 3 3" xfId="418" xr:uid="{10205BE8-140C-46A3-9B0D-42E27C376A67}"/>
    <cellStyle name="Comma 2 3 2 2 2 4" xfId="419" xr:uid="{676E8FAC-948A-4287-A7D2-95EBED6B916A}"/>
    <cellStyle name="Comma 2 3 2 2 2 5" xfId="420" xr:uid="{2AF7633E-41D9-4D4F-BEC0-A346F8FE1DC0}"/>
    <cellStyle name="Comma 2 3 2 2 2 6" xfId="421" xr:uid="{7E32B60F-B651-45F7-BCD4-0A617B39A38B}"/>
    <cellStyle name="Comma 2 3 2 2 2 7" xfId="422" xr:uid="{A12233D3-FC51-433A-8DAC-8812CA3776A7}"/>
    <cellStyle name="Comma 2 3 2 2 3" xfId="423" xr:uid="{1E4310A0-BA0F-415E-82BA-616EA037478D}"/>
    <cellStyle name="Comma 2 3 2 2 3 2" xfId="424" xr:uid="{AA27E1A2-91B0-4416-95DF-7BD12AE01DD3}"/>
    <cellStyle name="Comma 2 3 2 2 3 2 2" xfId="425" xr:uid="{F6E28170-3DE5-4C2D-903A-EFCBEBD52084}"/>
    <cellStyle name="Comma 2 3 2 2 3 2 2 2" xfId="426" xr:uid="{D7719993-B15A-4602-B2EB-39ABCDAF03EC}"/>
    <cellStyle name="Comma 2 3 2 2 3 2 2 3" xfId="427" xr:uid="{A87F741F-7B73-4CA5-9EF8-1740E8093D09}"/>
    <cellStyle name="Comma 2 3 2 2 3 2 3" xfId="428" xr:uid="{11B3103F-10E5-4CBF-B126-6AA2C0201CE7}"/>
    <cellStyle name="Comma 2 3 2 2 3 2 4" xfId="429" xr:uid="{D1A6596C-FB6F-40E5-B2B6-F54095FCECC5}"/>
    <cellStyle name="Comma 2 3 2 2 3 3" xfId="430" xr:uid="{723C499B-0755-4AB6-8CC4-33DB8C66A6C3}"/>
    <cellStyle name="Comma 2 3 2 2 3 3 2" xfId="431" xr:uid="{6F0ACC46-4B5F-4918-A1D1-8DA9C8AADB1B}"/>
    <cellStyle name="Comma 2 3 2 2 3 3 3" xfId="432" xr:uid="{278272EE-BCAB-4B1F-AC34-F73A91CE9BC2}"/>
    <cellStyle name="Comma 2 3 2 2 3 4" xfId="433" xr:uid="{46E73222-DFAE-4B02-8D48-3E8A817E5150}"/>
    <cellStyle name="Comma 2 3 2 2 3 5" xfId="434" xr:uid="{0C59521E-6931-48E3-A226-44AF77DE4681}"/>
    <cellStyle name="Comma 2 3 2 2 3 6" xfId="435" xr:uid="{77E79B08-A6FA-4414-B9B3-7C3E4DC56234}"/>
    <cellStyle name="Comma 2 3 2 2 4" xfId="436" xr:uid="{B65C1B57-908D-4732-92FB-7CA121021EA0}"/>
    <cellStyle name="Comma 2 3 2 2 4 2" xfId="437" xr:uid="{DD87A17E-DA4A-4181-B70D-86B55BD8A394}"/>
    <cellStyle name="Comma 2 3 2 2 4 2 2" xfId="438" xr:uid="{CD4C7734-D019-4C9D-AE5A-7E083F63F18D}"/>
    <cellStyle name="Comma 2 3 2 2 4 2 3" xfId="439" xr:uid="{7978DE2F-7914-4CFD-BB4A-BE8FB2283642}"/>
    <cellStyle name="Comma 2 3 2 2 4 3" xfId="440" xr:uid="{1FCEEF4D-8106-4A2B-825B-F9E3CE621369}"/>
    <cellStyle name="Comma 2 3 2 2 4 4" xfId="441" xr:uid="{9CBD421D-FC13-4463-B653-4954AA2E696F}"/>
    <cellStyle name="Comma 2 3 2 2 5" xfId="442" xr:uid="{00F254E6-ED72-4BF0-9852-90ECA07343DD}"/>
    <cellStyle name="Comma 2 3 2 2 5 2" xfId="443" xr:uid="{66670266-BFA2-49BA-BD9A-905A407D8D53}"/>
    <cellStyle name="Comma 2 3 2 2 5 3" xfId="444" xr:uid="{D4895E0B-E69C-4B1E-AD88-DD737A66719B}"/>
    <cellStyle name="Comma 2 3 2 2 6" xfId="445" xr:uid="{8CC2A2E6-FA01-4849-A5D8-6D391AE0C1CD}"/>
    <cellStyle name="Comma 2 3 2 2 7" xfId="446" xr:uid="{563EABFE-46CF-4B1A-A129-4C2E479471EF}"/>
    <cellStyle name="Comma 2 3 2 2 8" xfId="447" xr:uid="{6B1FF1B0-AEFF-432C-B4AC-4E6E3705C3B2}"/>
    <cellStyle name="Comma 2 3 2 3" xfId="448" xr:uid="{E747808D-BB72-45CD-ABA8-AC812ED1FDC5}"/>
    <cellStyle name="Comma 2 3 2 3 2" xfId="449" xr:uid="{55132646-79D5-4A14-A69A-81F12A32C3A5}"/>
    <cellStyle name="Comma 2 3 2 3 2 2" xfId="450" xr:uid="{CEE4B978-6F0C-44A9-B91F-8593923F8BB8}"/>
    <cellStyle name="Comma 2 3 2 3 2 2 2" xfId="451" xr:uid="{5FD4660C-76BA-474C-AF16-50A854615149}"/>
    <cellStyle name="Comma 2 3 2 3 2 2 2 2" xfId="452" xr:uid="{8422EB42-D5A9-4B12-AC0C-DE91E48675CE}"/>
    <cellStyle name="Comma 2 3 2 3 2 2 2 3" xfId="453" xr:uid="{EEF89D7A-05B4-4B12-BF19-0D3375A239BF}"/>
    <cellStyle name="Comma 2 3 2 3 2 2 3" xfId="454" xr:uid="{E55A9680-D0C7-43F1-AB54-BC967710E13C}"/>
    <cellStyle name="Comma 2 3 2 3 2 2 4" xfId="455" xr:uid="{4E859E77-20AC-4E90-B571-BC61A5CF04CD}"/>
    <cellStyle name="Comma 2 3 2 3 2 3" xfId="456" xr:uid="{45FD2040-5CE2-4BCE-A4DA-5312072DD18D}"/>
    <cellStyle name="Comma 2 3 2 3 2 3 2" xfId="457" xr:uid="{D3943049-C06B-4231-8C1A-E2E45E550844}"/>
    <cellStyle name="Comma 2 3 2 3 2 3 3" xfId="458" xr:uid="{9663227C-3225-4FDA-886F-0C1E48DD6058}"/>
    <cellStyle name="Comma 2 3 2 3 2 4" xfId="459" xr:uid="{C9F74E94-AB3B-4E19-B5DE-4D253E2A3E8F}"/>
    <cellStyle name="Comma 2 3 2 3 2 5" xfId="460" xr:uid="{06A6680E-AA2C-4348-8C8A-156EB8742979}"/>
    <cellStyle name="Comma 2 3 2 3 3" xfId="461" xr:uid="{3573EC4E-8409-4DAB-A3BD-60D8C223E61B}"/>
    <cellStyle name="Comma 2 3 2 3 3 2" xfId="462" xr:uid="{FDD732A8-271B-4752-94C4-2AEE11E8D234}"/>
    <cellStyle name="Comma 2 3 2 3 3 2 2" xfId="463" xr:uid="{A56B6A9F-E3B6-41D8-87EA-9E86CFF4E1BA}"/>
    <cellStyle name="Comma 2 3 2 3 3 2 3" xfId="464" xr:uid="{953FD2AF-C0B1-42CA-9883-F28A622D2004}"/>
    <cellStyle name="Comma 2 3 2 3 3 3" xfId="465" xr:uid="{B0B934A7-153E-4A00-B071-DD7617CAC0BD}"/>
    <cellStyle name="Comma 2 3 2 3 3 4" xfId="466" xr:uid="{584CA633-D5A1-46EB-AA8C-EFF489737BB1}"/>
    <cellStyle name="Comma 2 3 2 3 4" xfId="467" xr:uid="{0EAC0FB6-0FBA-4740-90A2-6E6132C954A6}"/>
    <cellStyle name="Comma 2 3 2 3 4 2" xfId="468" xr:uid="{4C23BF05-CC30-44E0-9D5E-E913697B6A39}"/>
    <cellStyle name="Comma 2 3 2 3 4 3" xfId="469" xr:uid="{342C1313-17ED-4A96-98A6-6C20CE12D680}"/>
    <cellStyle name="Comma 2 3 2 3 5" xfId="470" xr:uid="{880E0627-2583-4EBE-ADDD-DBEE55B3642F}"/>
    <cellStyle name="Comma 2 3 2 3 6" xfId="471" xr:uid="{49D93AA1-A7EE-4332-BBAA-BA0EB70004AC}"/>
    <cellStyle name="Comma 2 3 2 3 7" xfId="472" xr:uid="{63122E79-4516-48A6-99E9-F3647F1AB267}"/>
    <cellStyle name="Comma 2 3 2 3 8" xfId="473" xr:uid="{36630B4C-9423-4036-867E-1A4C4CB15F98}"/>
    <cellStyle name="Comma 2 3 2 4" xfId="474" xr:uid="{9EB3784D-5F61-48F8-B437-AAD393E9D9FA}"/>
    <cellStyle name="Comma 2 3 2 4 2" xfId="475" xr:uid="{FD211B69-7957-4044-B3AD-ADB519894E0B}"/>
    <cellStyle name="Comma 2 3 2 4 2 2" xfId="476" xr:uid="{9FDDB36B-4CEE-4221-96B6-39D35C73E2FA}"/>
    <cellStyle name="Comma 2 3 2 4 2 2 2" xfId="477" xr:uid="{F68CAEB9-D054-4F16-B53A-03A413A00049}"/>
    <cellStyle name="Comma 2 3 2 4 2 2 2 2" xfId="478" xr:uid="{FF62C746-38DC-40C8-8ABB-D78F270EC851}"/>
    <cellStyle name="Comma 2 3 2 4 2 2 2 3" xfId="479" xr:uid="{3067CBAC-7253-424D-A41D-306B881D205A}"/>
    <cellStyle name="Comma 2 3 2 4 2 2 3" xfId="480" xr:uid="{6D05644C-D3D6-46D8-98CB-3F9512A37166}"/>
    <cellStyle name="Comma 2 3 2 4 2 2 4" xfId="481" xr:uid="{0DB4DD15-4F70-4CF2-87E3-C922139FD95A}"/>
    <cellStyle name="Comma 2 3 2 4 2 3" xfId="482" xr:uid="{302DDDCD-6E4E-446A-9EB2-D833A9C20BC8}"/>
    <cellStyle name="Comma 2 3 2 4 2 3 2" xfId="483" xr:uid="{AA52A149-D53E-4B77-8993-8B144112A458}"/>
    <cellStyle name="Comma 2 3 2 4 2 3 3" xfId="484" xr:uid="{55AA523E-8BB5-4635-8526-E44E4DE6CC13}"/>
    <cellStyle name="Comma 2 3 2 4 2 4" xfId="485" xr:uid="{8610B0A1-5374-4B4E-81D2-22526EA5395B}"/>
    <cellStyle name="Comma 2 3 2 4 2 5" xfId="486" xr:uid="{3C3D3E38-C046-4734-84EA-0DCFBFB69CDF}"/>
    <cellStyle name="Comma 2 3 2 4 3" xfId="487" xr:uid="{A5942DD2-CD73-4833-9FF2-72DF389A816F}"/>
    <cellStyle name="Comma 2 3 2 4 3 2" xfId="488" xr:uid="{E667BA73-B02A-49B3-96E7-0CA1745FED1B}"/>
    <cellStyle name="Comma 2 3 2 4 3 2 2" xfId="489" xr:uid="{7A22F873-85EF-4C46-B74A-C7E8B4730FDE}"/>
    <cellStyle name="Comma 2 3 2 4 3 2 3" xfId="490" xr:uid="{52CE298D-DA29-4CF4-9404-DD7E2117C695}"/>
    <cellStyle name="Comma 2 3 2 4 3 3" xfId="491" xr:uid="{6676CA86-DB04-47BB-82A9-88A6AFFC3097}"/>
    <cellStyle name="Comma 2 3 2 4 3 4" xfId="492" xr:uid="{1655E7B6-39B8-42DF-9128-AD6D499DE275}"/>
    <cellStyle name="Comma 2 3 2 4 4" xfId="493" xr:uid="{40DD5B08-76B8-4D0D-B232-966A315829F4}"/>
    <cellStyle name="Comma 2 3 2 4 4 2" xfId="494" xr:uid="{F113027F-172C-43C1-81CC-26081C90626B}"/>
    <cellStyle name="Comma 2 3 2 4 4 3" xfId="495" xr:uid="{865131BE-F85B-4CF7-9168-3DDECFE8B067}"/>
    <cellStyle name="Comma 2 3 2 4 5" xfId="496" xr:uid="{C4B47234-871D-46ED-89A8-C1B1ADE6F2DD}"/>
    <cellStyle name="Comma 2 3 2 4 6" xfId="497" xr:uid="{DC3D90E3-6D74-43F5-9F9F-EB441944D903}"/>
    <cellStyle name="Comma 2 3 2 4 7" xfId="498" xr:uid="{8CB64A41-78D9-4AA8-AC52-898CEE70FB79}"/>
    <cellStyle name="Comma 2 3 2 5" xfId="499" xr:uid="{4215D6CA-F5EE-430C-897D-38D1B6F44857}"/>
    <cellStyle name="Comma 2 3 2 5 2" xfId="500" xr:uid="{ED516F07-152E-4C14-A695-FEFD01C86D4A}"/>
    <cellStyle name="Comma 2 3 2 5 2 2" xfId="501" xr:uid="{9B4C033C-5F5C-4295-9AA6-5A85EE5380DA}"/>
    <cellStyle name="Comma 2 3 2 5 2 2 2" xfId="502" xr:uid="{3CAAE7BF-E3A6-41A0-8AE6-C86F0B022D70}"/>
    <cellStyle name="Comma 2 3 2 5 2 2 3" xfId="503" xr:uid="{428F6AD1-76DD-40BA-8780-D7CE15E03ABD}"/>
    <cellStyle name="Comma 2 3 2 5 2 3" xfId="504" xr:uid="{813CE135-23AD-4EE0-8A34-57C17C089579}"/>
    <cellStyle name="Comma 2 3 2 5 2 4" xfId="505" xr:uid="{896E424C-4FFC-45FA-AC7A-CE1F3EA801DE}"/>
    <cellStyle name="Comma 2 3 2 5 3" xfId="506" xr:uid="{F613482C-75CD-41D2-80B0-4968D1EDD948}"/>
    <cellStyle name="Comma 2 3 2 5 3 2" xfId="507" xr:uid="{A7B654EF-19BD-416C-AA8D-F1260837CC00}"/>
    <cellStyle name="Comma 2 3 2 5 3 3" xfId="508" xr:uid="{56C15A60-1361-4543-B1D8-D7EA5757321A}"/>
    <cellStyle name="Comma 2 3 2 5 4" xfId="509" xr:uid="{CE8EE3E5-D1EF-4538-A616-2D1E23053663}"/>
    <cellStyle name="Comma 2 3 2 5 5" xfId="510" xr:uid="{CFF658FB-239A-4A3D-B91D-ABD5A2DC8C36}"/>
    <cellStyle name="Comma 2 3 2 6" xfId="511" xr:uid="{26495C7F-8375-4940-8735-7D7B31E8E066}"/>
    <cellStyle name="Comma 2 3 2 6 2" xfId="512" xr:uid="{B3B94C7A-6839-423F-9C55-59C5DD1A3CAF}"/>
    <cellStyle name="Comma 2 3 2 6 2 2" xfId="513" xr:uid="{279A58F6-6189-4B20-A624-D91A76A845BA}"/>
    <cellStyle name="Comma 2 3 2 6 2 2 2" xfId="514" xr:uid="{0BF9072E-3822-40D6-9821-A2415A510FF2}"/>
    <cellStyle name="Comma 2 3 2 6 2 2 3" xfId="515" xr:uid="{09C3C397-61CC-4DA5-BC2D-487A5C20EA6F}"/>
    <cellStyle name="Comma 2 3 2 6 2 3" xfId="516" xr:uid="{58079DB9-E673-49BF-BB56-63003F6139AC}"/>
    <cellStyle name="Comma 2 3 2 6 2 4" xfId="517" xr:uid="{84E97004-2690-4AF4-A4CD-ADD1B9024BBC}"/>
    <cellStyle name="Comma 2 3 2 6 3" xfId="518" xr:uid="{FF540BEA-159F-42A5-BAE6-7036FE2B649B}"/>
    <cellStyle name="Comma 2 3 2 6 3 2" xfId="519" xr:uid="{ADC699A6-AC19-4659-9848-135408F1E482}"/>
    <cellStyle name="Comma 2 3 2 6 3 3" xfId="520" xr:uid="{FC835E79-EE71-44F9-BD4B-9126EBC2CF33}"/>
    <cellStyle name="Comma 2 3 2 6 4" xfId="521" xr:uid="{14F720DC-B5DA-49A2-AAEA-DE7CAEC3D2CE}"/>
    <cellStyle name="Comma 2 3 2 6 5" xfId="522" xr:uid="{DDC27514-09DC-4A7C-B51E-4DFD4781B02C}"/>
    <cellStyle name="Comma 2 3 2 7" xfId="523" xr:uid="{18A67C6F-4D41-4895-92A3-175DEAEC0837}"/>
    <cellStyle name="Comma 2 3 2 7 2" xfId="524" xr:uid="{92AB2BC1-2736-4085-B6F5-1FA80CF8C373}"/>
    <cellStyle name="Comma 2 3 2 7 2 2" xfId="525" xr:uid="{39B72FFD-BAF8-4708-BF65-7D3F1729DB8C}"/>
    <cellStyle name="Comma 2 3 2 7 2 3" xfId="526" xr:uid="{0DAEE6E1-C2F6-4975-A9EC-DF627CC79AE5}"/>
    <cellStyle name="Comma 2 3 2 7 3" xfId="527" xr:uid="{A8BC5458-0CAD-4A6F-8ED0-58D05DFFC1A5}"/>
    <cellStyle name="Comma 2 3 2 7 4" xfId="528" xr:uid="{C4478636-CC21-4343-AF3F-D3F978F34237}"/>
    <cellStyle name="Comma 2 3 2 8" xfId="529" xr:uid="{219E92BD-8E84-4BC2-9ECA-82CDF34E16C4}"/>
    <cellStyle name="Comma 2 3 2 8 2" xfId="530" xr:uid="{9117E3EC-A6DD-43AB-BF08-E8BAB2ADB34A}"/>
    <cellStyle name="Comma 2 3 2 8 3" xfId="531" xr:uid="{4E4F18A1-34EE-4008-8D43-C538D9C396DB}"/>
    <cellStyle name="Comma 2 3 2 9" xfId="532" xr:uid="{3A69E969-4D48-40B6-A681-7C48AA9E9B36}"/>
    <cellStyle name="Comma 2 3 3" xfId="533" xr:uid="{E541F092-1551-4CCF-AF1D-82B89E7CADF5}"/>
    <cellStyle name="Comma 2 3 3 2" xfId="534" xr:uid="{CB8D0DFD-42F2-432A-BC39-DB0C47689DE1}"/>
    <cellStyle name="Comma 2 3 3 2 2" xfId="535" xr:uid="{EEE3AD0A-1E5E-4161-8A1F-E1D02BBD1A1B}"/>
    <cellStyle name="Comma 2 3 3 2 2 2" xfId="536" xr:uid="{45231FAB-E1C7-4802-B39D-9A9E059C4182}"/>
    <cellStyle name="Comma 2 3 3 2 2 2 2" xfId="537" xr:uid="{88D2AB5C-E5BA-45D7-9178-48B07A182698}"/>
    <cellStyle name="Comma 2 3 3 2 2 2 3" xfId="538" xr:uid="{CE4DDC5F-061C-47E3-8D21-1EFDE30729E7}"/>
    <cellStyle name="Comma 2 3 3 2 2 3" xfId="539" xr:uid="{2DC3E58C-DAC1-43B1-8F28-A315D9B3C1C1}"/>
    <cellStyle name="Comma 2 3 3 2 2 4" xfId="540" xr:uid="{DCAC55CD-19A8-4E29-9768-7F00D640245D}"/>
    <cellStyle name="Comma 2 3 3 2 3" xfId="541" xr:uid="{96D79C13-6692-4DDE-A4E5-179EA94411EA}"/>
    <cellStyle name="Comma 2 3 3 2 3 2" xfId="542" xr:uid="{93624F95-A914-41AB-A613-7BA4F236F771}"/>
    <cellStyle name="Comma 2 3 3 2 3 3" xfId="543" xr:uid="{740A5C18-904D-4E75-AC18-594B7ED87B86}"/>
    <cellStyle name="Comma 2 3 3 2 4" xfId="544" xr:uid="{F93BC9B7-798E-4FD2-8B3A-78A646F339DE}"/>
    <cellStyle name="Comma 2 3 3 2 5" xfId="545" xr:uid="{9EEDBB2D-980F-4642-93B0-744E44D2F005}"/>
    <cellStyle name="Comma 2 3 3 2 6" xfId="546" xr:uid="{61716E23-35A6-4DF5-A1E4-4DEBE4D0A4ED}"/>
    <cellStyle name="Comma 2 3 3 2 7" xfId="547" xr:uid="{CF5E9EC6-3E3F-43DA-9C6E-C502BBB396AC}"/>
    <cellStyle name="Comma 2 3 3 3" xfId="548" xr:uid="{370A17E7-7D55-4CD4-8E12-81CD6330199C}"/>
    <cellStyle name="Comma 2 3 3 3 2" xfId="549" xr:uid="{0581D45F-705D-4EAD-B2F8-3180505060BB}"/>
    <cellStyle name="Comma 2 3 3 3 2 2" xfId="550" xr:uid="{DF111A6C-9769-4C76-9863-02AE56A65F6F}"/>
    <cellStyle name="Comma 2 3 3 3 2 2 2" xfId="551" xr:uid="{27FFF4CF-39C8-4EB1-BDB3-4BC9D15E2793}"/>
    <cellStyle name="Comma 2 3 3 3 2 2 3" xfId="552" xr:uid="{866E76C4-59C8-4D33-ABDC-D390449ED5B9}"/>
    <cellStyle name="Comma 2 3 3 3 2 3" xfId="553" xr:uid="{2E216DA4-BB4F-44CB-9AC4-ABA0261C6AFE}"/>
    <cellStyle name="Comma 2 3 3 3 2 4" xfId="554" xr:uid="{679E5BF5-55CB-4BD9-84C2-312C8BA683E1}"/>
    <cellStyle name="Comma 2 3 3 3 3" xfId="555" xr:uid="{7B98E02B-A89A-4B12-9232-3DE0938C73A7}"/>
    <cellStyle name="Comma 2 3 3 3 3 2" xfId="556" xr:uid="{FBDAAE05-99E5-4ABC-BE91-9F08D83765AA}"/>
    <cellStyle name="Comma 2 3 3 3 3 3" xfId="557" xr:uid="{D87EDCB5-16EC-4EB1-ABBE-4F0990CFD412}"/>
    <cellStyle name="Comma 2 3 3 3 4" xfId="558" xr:uid="{70CC1B9D-1680-4E0B-B4F3-3C693341739F}"/>
    <cellStyle name="Comma 2 3 3 3 5" xfId="559" xr:uid="{AA71ED6D-0851-4325-B480-AC4EDD35977E}"/>
    <cellStyle name="Comma 2 3 3 3 6" xfId="560" xr:uid="{9A598F39-AD1C-4EDC-93CE-3B00F56AEEA3}"/>
    <cellStyle name="Comma 2 3 3 4" xfId="561" xr:uid="{39C0F151-C07C-41F1-BE33-E2EFADEDDF1E}"/>
    <cellStyle name="Comma 2 3 3 4 2" xfId="562" xr:uid="{97D78191-7241-4EEF-BB52-B7FA093E9D28}"/>
    <cellStyle name="Comma 2 3 3 4 2 2" xfId="563" xr:uid="{9984F5FD-0D59-4AB0-A332-6019BA6532A2}"/>
    <cellStyle name="Comma 2 3 3 4 2 3" xfId="564" xr:uid="{0996D13E-2EBD-46D4-838C-B37364F8D328}"/>
    <cellStyle name="Comma 2 3 3 4 3" xfId="565" xr:uid="{E398E6EA-74FF-485B-A44A-C05C5040C5F7}"/>
    <cellStyle name="Comma 2 3 3 4 4" xfId="566" xr:uid="{B7DA2A61-2013-462A-BD9E-9CE9BD1E35A9}"/>
    <cellStyle name="Comma 2 3 3 5" xfId="567" xr:uid="{09C27A46-5E27-4243-8875-90A891DE0FC5}"/>
    <cellStyle name="Comma 2 3 3 5 2" xfId="568" xr:uid="{525E212E-565A-47CD-BA65-6902F7FC0985}"/>
    <cellStyle name="Comma 2 3 3 5 3" xfId="569" xr:uid="{08F2A0EE-6F7B-4CFD-B217-A9EBD8FB1C7F}"/>
    <cellStyle name="Comma 2 3 3 6" xfId="570" xr:uid="{37AC352A-E53C-4B65-AF85-129F4205461F}"/>
    <cellStyle name="Comma 2 3 3 7" xfId="571" xr:uid="{BBB9BF8B-9EA8-44CF-A8F1-3ADDD73AD19D}"/>
    <cellStyle name="Comma 2 3 3 8" xfId="572" xr:uid="{40C2C329-190E-497A-8BC3-288BCAA19945}"/>
    <cellStyle name="Comma 2 3 4" xfId="573" xr:uid="{624AD7BF-5D4E-41C8-BEC9-59E90A8A3F03}"/>
    <cellStyle name="Comma 2 3 4 2" xfId="574" xr:uid="{80FBE075-C589-4667-8CBA-F9B4C26A54B6}"/>
    <cellStyle name="Comma 2 3 4 2 2" xfId="575" xr:uid="{63207F98-A6C9-43D2-9E9A-6AD18A945AED}"/>
    <cellStyle name="Comma 2 3 4 2 2 2" xfId="576" xr:uid="{3C731823-BA97-4A0A-9DBC-0662EB4BAD4E}"/>
    <cellStyle name="Comma 2 3 4 2 2 2 2" xfId="577" xr:uid="{4F9A5442-32DB-4546-972A-820CD491C05B}"/>
    <cellStyle name="Comma 2 3 4 2 2 2 3" xfId="578" xr:uid="{9CD6C4C2-C546-40AB-8937-F8CC9647C797}"/>
    <cellStyle name="Comma 2 3 4 2 2 3" xfId="579" xr:uid="{C21F1E0B-58ED-4FEE-9CF9-A87EAB6AEF90}"/>
    <cellStyle name="Comma 2 3 4 2 2 4" xfId="580" xr:uid="{5078DF9D-F222-49AC-B2FE-F46327753741}"/>
    <cellStyle name="Comma 2 3 4 2 3" xfId="581" xr:uid="{31A5A30C-FB97-4746-85C3-A5EE64F863D9}"/>
    <cellStyle name="Comma 2 3 4 2 3 2" xfId="582" xr:uid="{7B88AAC3-75CD-444C-A4BC-8F7EEBA1371E}"/>
    <cellStyle name="Comma 2 3 4 2 3 3" xfId="583" xr:uid="{8C28872A-58C9-4CFB-92ED-B0B61C921819}"/>
    <cellStyle name="Comma 2 3 4 2 4" xfId="584" xr:uid="{EBEAF260-3FD1-4A57-9957-4F579EC68A23}"/>
    <cellStyle name="Comma 2 3 4 2 5" xfId="585" xr:uid="{58C8222D-C484-4428-ACE5-0972AE809106}"/>
    <cellStyle name="Comma 2 3 4 3" xfId="586" xr:uid="{3B0BC570-E89F-4F6F-8462-F3C9FE2723A6}"/>
    <cellStyle name="Comma 2 3 4 3 2" xfId="587" xr:uid="{FCE0F379-2E8B-465C-9013-ACCFEEA69778}"/>
    <cellStyle name="Comma 2 3 4 3 2 2" xfId="588" xr:uid="{A22DD269-4051-402A-AF63-7D78BF184D35}"/>
    <cellStyle name="Comma 2 3 4 3 2 3" xfId="589" xr:uid="{76132FE9-C3D6-4798-9E0B-04B6F1A30826}"/>
    <cellStyle name="Comma 2 3 4 3 3" xfId="590" xr:uid="{F6EDDA56-62B8-41E0-BF3C-80B91818886A}"/>
    <cellStyle name="Comma 2 3 4 3 4" xfId="591" xr:uid="{D6195544-8B9B-4BCB-9205-573EAEBC820D}"/>
    <cellStyle name="Comma 2 3 4 4" xfId="592" xr:uid="{A7A70938-777C-4A71-8E69-71315055CD5E}"/>
    <cellStyle name="Comma 2 3 4 4 2" xfId="593" xr:uid="{E5F1B976-1D1F-41E5-BEC9-9857A1338898}"/>
    <cellStyle name="Comma 2 3 4 4 3" xfId="594" xr:uid="{2D7FDA58-50A1-45EB-A130-53D93CEB14BA}"/>
    <cellStyle name="Comma 2 3 4 5" xfId="595" xr:uid="{388F0222-4777-4C7D-B770-65323519EA2A}"/>
    <cellStyle name="Comma 2 3 4 6" xfId="596" xr:uid="{7DBDCFA4-56A8-4829-AD9B-75FA1886DD38}"/>
    <cellStyle name="Comma 2 3 4 7" xfId="597" xr:uid="{FF531E26-832E-4391-AB1F-EB65C15EDCA9}"/>
    <cellStyle name="Comma 2 3 4 8" xfId="598" xr:uid="{485E3542-DAF0-4C79-879F-6BF9392BC72E}"/>
    <cellStyle name="Comma 2 3 5" xfId="599" xr:uid="{AF439C51-1782-4CBF-8DD2-1A8A59989734}"/>
    <cellStyle name="Comma 2 3 5 2" xfId="600" xr:uid="{91685131-DDAE-4D91-A3B6-5E84F9E811FA}"/>
    <cellStyle name="Comma 2 3 5 2 2" xfId="601" xr:uid="{B98A757C-472A-4A25-976D-E044245AF304}"/>
    <cellStyle name="Comma 2 3 5 2 2 2" xfId="602" xr:uid="{397A1668-1F14-4EDF-B781-225A1B391F57}"/>
    <cellStyle name="Comma 2 3 5 2 2 2 2" xfId="603" xr:uid="{2F00ADAA-E461-4A73-B6D6-6C9BE4FF9BF4}"/>
    <cellStyle name="Comma 2 3 5 2 2 2 3" xfId="604" xr:uid="{8D459D25-E6CA-4300-80DC-BDA3DDBC0E98}"/>
    <cellStyle name="Comma 2 3 5 2 2 3" xfId="605" xr:uid="{F1F2C69E-F5C6-49CF-B93B-228D19897599}"/>
    <cellStyle name="Comma 2 3 5 2 2 4" xfId="606" xr:uid="{E4D1AB4D-5B40-4323-8451-A40FC6B3BFB7}"/>
    <cellStyle name="Comma 2 3 5 2 3" xfId="607" xr:uid="{EFD0F861-89A9-4DC8-9D1B-28ACDFBB00C4}"/>
    <cellStyle name="Comma 2 3 5 2 3 2" xfId="608" xr:uid="{811B5BC9-79B3-4041-BA78-EC00908690B2}"/>
    <cellStyle name="Comma 2 3 5 2 3 3" xfId="609" xr:uid="{69EE3CDA-16F8-41D0-97D7-B61545E74F7A}"/>
    <cellStyle name="Comma 2 3 5 2 4" xfId="610" xr:uid="{DAC68E42-2B27-48E8-9A28-899F4C3E5526}"/>
    <cellStyle name="Comma 2 3 5 2 5" xfId="611" xr:uid="{8B283C2C-C7B3-474E-980F-D227B8540331}"/>
    <cellStyle name="Comma 2 3 5 3" xfId="612" xr:uid="{D3CA03A1-FA48-4162-93ED-51A15F48FDB3}"/>
    <cellStyle name="Comma 2 3 5 3 2" xfId="613" xr:uid="{009AA6D3-9EC7-4D07-AAF3-AD88369C5382}"/>
    <cellStyle name="Comma 2 3 5 3 2 2" xfId="614" xr:uid="{1996D303-5600-45B3-85F1-1E46396F9729}"/>
    <cellStyle name="Comma 2 3 5 3 2 3" xfId="615" xr:uid="{64E3645C-F58B-4B3A-9BEA-5E6ACA34945E}"/>
    <cellStyle name="Comma 2 3 5 3 3" xfId="616" xr:uid="{717A3961-BD8D-45BC-89A5-654842E22401}"/>
    <cellStyle name="Comma 2 3 5 3 4" xfId="617" xr:uid="{BAB5BCB3-C009-4868-B602-7AF9ADC787E4}"/>
    <cellStyle name="Comma 2 3 5 4" xfId="618" xr:uid="{F738BC3C-5467-41A6-8715-07B860FD1DD6}"/>
    <cellStyle name="Comma 2 3 5 4 2" xfId="619" xr:uid="{289995D5-3200-4848-8D6F-88F28FD13537}"/>
    <cellStyle name="Comma 2 3 5 4 3" xfId="620" xr:uid="{1D44E3B0-D5A6-4D63-B2BB-2653677603B7}"/>
    <cellStyle name="Comma 2 3 5 5" xfId="621" xr:uid="{CA702027-1C24-4DA9-B56D-92B00392666E}"/>
    <cellStyle name="Comma 2 3 5 6" xfId="622" xr:uid="{2CAD775F-74FF-404F-B648-20650A9B8E37}"/>
    <cellStyle name="Comma 2 3 5 7" xfId="623" xr:uid="{7EB99A7C-6B5A-4000-9712-A0CEC2C5F991}"/>
    <cellStyle name="Comma 2 3 6" xfId="624" xr:uid="{EEA2F091-A455-495E-A7E2-8696A96A91E9}"/>
    <cellStyle name="Comma 2 3 6 2" xfId="625" xr:uid="{0A4F7D4A-B56B-430C-8EF4-0711838FE873}"/>
    <cellStyle name="Comma 2 3 6 2 2" xfId="626" xr:uid="{02CB45A4-D861-4209-A3A0-20EA916583CC}"/>
    <cellStyle name="Comma 2 3 6 2 2 2" xfId="627" xr:uid="{6E0C8323-68AA-49D8-950C-75F317FFC854}"/>
    <cellStyle name="Comma 2 3 6 2 2 3" xfId="628" xr:uid="{FB20F6E7-947B-48DD-B294-47672DDC1755}"/>
    <cellStyle name="Comma 2 3 6 2 3" xfId="629" xr:uid="{144EA9B9-3CAD-44CA-8804-7A705CAA48A7}"/>
    <cellStyle name="Comma 2 3 6 2 4" xfId="630" xr:uid="{334A30A6-695B-43B5-80A9-6B260E60E1ED}"/>
    <cellStyle name="Comma 2 3 6 3" xfId="631" xr:uid="{E5C9CB43-9161-4DF8-9D1E-4B6B3EAFEE15}"/>
    <cellStyle name="Comma 2 3 6 3 2" xfId="632" xr:uid="{B7FD0533-3751-4321-9ABA-058BF274410E}"/>
    <cellStyle name="Comma 2 3 6 3 3" xfId="633" xr:uid="{C435091E-1379-405E-A511-639E26D43655}"/>
    <cellStyle name="Comma 2 3 6 4" xfId="634" xr:uid="{314185C7-5FEB-4AB7-8038-81C6E671CA20}"/>
    <cellStyle name="Comma 2 3 6 5" xfId="635" xr:uid="{58EF4B21-0210-48B7-8D2E-7651446F7480}"/>
    <cellStyle name="Comma 2 3 7" xfId="636" xr:uid="{E8278E1C-7E93-4992-A3EE-2980DA474E03}"/>
    <cellStyle name="Comma 2 3 7 2" xfId="637" xr:uid="{FA57072B-50D4-4FB6-8C52-61369D0E9A50}"/>
    <cellStyle name="Comma 2 3 7 2 2" xfId="638" xr:uid="{E58B3384-3DF9-4ED0-BCE4-C1ACC3AE8DD7}"/>
    <cellStyle name="Comma 2 3 7 2 2 2" xfId="639" xr:uid="{883A28EA-190A-4DA4-99FD-E93AA16C5C51}"/>
    <cellStyle name="Comma 2 3 7 2 2 3" xfId="640" xr:uid="{657456EB-3234-476B-8D2F-A292EF515173}"/>
    <cellStyle name="Comma 2 3 7 2 3" xfId="641" xr:uid="{0A75A18A-09AA-4BA1-8DF5-67B945CB7FF7}"/>
    <cellStyle name="Comma 2 3 7 2 4" xfId="642" xr:uid="{CBA1246B-ADC3-485B-97FC-AC6A154CA6DA}"/>
    <cellStyle name="Comma 2 3 7 3" xfId="643" xr:uid="{CCA057DB-6F4C-4598-AF03-E4A2A46336CE}"/>
    <cellStyle name="Comma 2 3 7 3 2" xfId="644" xr:uid="{9050A8FA-4713-4C8E-BE3F-4D414F250D17}"/>
    <cellStyle name="Comma 2 3 7 3 3" xfId="645" xr:uid="{43379D74-4C89-4997-B405-1C49AE128ADD}"/>
    <cellStyle name="Comma 2 3 7 4" xfId="646" xr:uid="{29D07774-0CA7-4381-9658-491376F74EB9}"/>
    <cellStyle name="Comma 2 3 7 5" xfId="647" xr:uid="{229A602F-6786-4F9B-9A01-BFEA402CDE06}"/>
    <cellStyle name="Comma 2 3 8" xfId="648" xr:uid="{567472D4-8C84-4D70-81BF-4544E62F1523}"/>
    <cellStyle name="Comma 2 3 8 2" xfId="649" xr:uid="{9262819E-FF1C-4F17-96DA-C7896EEA2812}"/>
    <cellStyle name="Comma 2 3 8 2 2" xfId="650" xr:uid="{6BA46A5A-4288-4B4A-A106-840813422936}"/>
    <cellStyle name="Comma 2 3 8 2 3" xfId="651" xr:uid="{BF3A2F61-D78E-473B-9967-288E15214F7F}"/>
    <cellStyle name="Comma 2 3 8 3" xfId="652" xr:uid="{4F920D2C-3554-4D74-AD77-5F423BD70115}"/>
    <cellStyle name="Comma 2 3 8 4" xfId="653" xr:uid="{6647C789-AA7F-4BBF-B99F-0E8B3015A8AD}"/>
    <cellStyle name="Comma 2 3 9" xfId="654" xr:uid="{3C977BA5-2E8D-4FDB-8DD3-B606D1347773}"/>
    <cellStyle name="Comma 2 3 9 2" xfId="655" xr:uid="{883D2029-76D0-4C37-AB48-552F6CAA56ED}"/>
    <cellStyle name="Comma 2 3 9 3" xfId="656" xr:uid="{D5C93813-FCDD-4B78-AB2F-6D7CA084A404}"/>
    <cellStyle name="Comma 2 4" xfId="657" xr:uid="{1475D8A7-25B8-4DAC-981A-56923731245F}"/>
    <cellStyle name="Comma 2 4 2" xfId="658" xr:uid="{D234B490-F39B-473C-86A3-2C9964F14B0A}"/>
    <cellStyle name="Comma 2 4 2 2" xfId="659" xr:uid="{86BE6DFF-64C0-45DF-889E-B74F591305D5}"/>
    <cellStyle name="Comma 2 4 2 2 2" xfId="660" xr:uid="{393DE0C7-2236-4E48-9961-1EA62D5AEF4F}"/>
    <cellStyle name="Comma 2 4 2 2 2 2" xfId="661" xr:uid="{EE88AEF8-44DE-48E4-B0F5-349B32B13F9A}"/>
    <cellStyle name="Comma 2 4 2 2 2 3" xfId="662" xr:uid="{34AE114F-F027-4C0C-A16F-50AD6BC1E10F}"/>
    <cellStyle name="Comma 2 4 2 2 3" xfId="663" xr:uid="{DA22B402-FBFF-402D-A5A0-A0B6E08D1B27}"/>
    <cellStyle name="Comma 2 4 2 2 4" xfId="664" xr:uid="{1129EC2A-C9D4-4EEC-9CD4-F0B03B51FBDF}"/>
    <cellStyle name="Comma 2 4 2 3" xfId="665" xr:uid="{0E14F222-44BE-401B-B106-C247D220A5D4}"/>
    <cellStyle name="Comma 2 4 2 3 2" xfId="666" xr:uid="{F08D9E8B-3119-4CD1-BBF2-27EFB655FEC7}"/>
    <cellStyle name="Comma 2 4 2 3 3" xfId="667" xr:uid="{5FED2E8F-3B98-4285-B06B-D1FD6E3777BD}"/>
    <cellStyle name="Comma 2 4 2 4" xfId="668" xr:uid="{93147CF8-6BF3-47C6-B5EF-F5EC71711D5A}"/>
    <cellStyle name="Comma 2 4 2 5" xfId="669" xr:uid="{2B1CD9F7-D568-4404-8F84-71B5BF0375FB}"/>
    <cellStyle name="Comma 2 4 2 6" xfId="670" xr:uid="{0003EB82-AE0A-4F87-A0D8-32D489E5F2EA}"/>
    <cellStyle name="Comma 2 4 2 7" xfId="671" xr:uid="{BBD3B9ED-F749-458C-AE3E-F3AB281E56C4}"/>
    <cellStyle name="Comma 2 4 3" xfId="672" xr:uid="{5876CC8F-2802-4D07-B073-E15D790F2C95}"/>
    <cellStyle name="Comma 2 4 3 2" xfId="673" xr:uid="{C280CC0D-0164-4BE5-815F-9343693C7CC0}"/>
    <cellStyle name="Comma 2 4 3 2 2" xfId="674" xr:uid="{E4B9EC2A-94AC-47C8-AA9E-2DD627D4BE57}"/>
    <cellStyle name="Comma 2 4 3 2 2 2" xfId="675" xr:uid="{3CCA61FD-DDC3-4381-8F62-47BBCDBFA69B}"/>
    <cellStyle name="Comma 2 4 3 2 2 3" xfId="676" xr:uid="{B90370A8-14B0-42AD-BAED-79CE1C691FD3}"/>
    <cellStyle name="Comma 2 4 3 2 3" xfId="677" xr:uid="{96DFAEA1-8B2D-4513-8355-2051A5ADC978}"/>
    <cellStyle name="Comma 2 4 3 2 4" xfId="678" xr:uid="{6DD29B46-5D6E-4238-8A85-2600EE8C3E02}"/>
    <cellStyle name="Comma 2 4 3 3" xfId="679" xr:uid="{292E5877-7B45-41B8-AE23-3E38DD23CF56}"/>
    <cellStyle name="Comma 2 4 3 3 2" xfId="680" xr:uid="{EC257055-7632-4B71-B891-A9CD71C93C12}"/>
    <cellStyle name="Comma 2 4 3 3 3" xfId="681" xr:uid="{0096B07D-01EC-4891-8192-88C608BA3636}"/>
    <cellStyle name="Comma 2 4 3 4" xfId="682" xr:uid="{6E2751BE-8D54-4BD5-8717-65177968CC65}"/>
    <cellStyle name="Comma 2 4 3 5" xfId="683" xr:uid="{834B45EC-F3F8-42F6-847B-B4C4C9BA6766}"/>
    <cellStyle name="Comma 2 4 3 6" xfId="684" xr:uid="{93E54F05-55CF-4BB8-B229-D54448E2AEEF}"/>
    <cellStyle name="Comma 2 4 3 7" xfId="685" xr:uid="{45117920-E36C-4CED-A65B-B1A8A447EE67}"/>
    <cellStyle name="Comma 2 4 4" xfId="686" xr:uid="{2787A942-F2CB-4644-9476-955B5BB129FB}"/>
    <cellStyle name="Comma 2 4 4 2" xfId="687" xr:uid="{9C9A4D2F-79FF-48B6-8633-D526F294ACA3}"/>
    <cellStyle name="Comma 2 4 4 2 2" xfId="688" xr:uid="{DF8D8340-6C3B-4341-BEF8-E9A096E53F1E}"/>
    <cellStyle name="Comma 2 4 4 2 3" xfId="689" xr:uid="{E16ADA91-3BC4-41A0-97FD-0212B3FEEBFD}"/>
    <cellStyle name="Comma 2 4 4 3" xfId="690" xr:uid="{D0427389-8D04-4784-8357-569BC8C7E818}"/>
    <cellStyle name="Comma 2 4 4 4" xfId="691" xr:uid="{99F5E7EB-D3F6-4AE7-BDF4-8551105FB034}"/>
    <cellStyle name="Comma 2 4 5" xfId="692" xr:uid="{F8B8F7B5-6201-4217-A5A0-1D9C7705491E}"/>
    <cellStyle name="Comma 2 4 5 2" xfId="693" xr:uid="{7B750764-F962-427D-A0F6-11C3081E1DF9}"/>
    <cellStyle name="Comma 2 4 5 3" xfId="694" xr:uid="{503A71BD-4CCF-4AE2-9F57-74E67F61F29D}"/>
    <cellStyle name="Comma 2 4 6" xfId="695" xr:uid="{53E6AA2E-3769-4FD8-93E5-8E8F59FE4B17}"/>
    <cellStyle name="Comma 2 4 7" xfId="696" xr:uid="{0F0D63EC-080F-4DF5-8C22-46F81E57D6DC}"/>
    <cellStyle name="Comma 2 4 8" xfId="697" xr:uid="{BE17EF39-8504-4A5D-91E9-747813386DCA}"/>
    <cellStyle name="Comma 2 5" xfId="698" xr:uid="{EAD5A5D8-9D89-4989-B3CC-4C4F7AFC7631}"/>
    <cellStyle name="Comma 2 5 2" xfId="699" xr:uid="{40DDB3A6-A8CD-4B9E-AF8E-A935E9504A36}"/>
    <cellStyle name="Comma 2 5 2 2" xfId="700" xr:uid="{4EDBC335-48C9-49AF-BD9D-D6DE37ABA146}"/>
    <cellStyle name="Comma 2 5 2 2 2" xfId="701" xr:uid="{92C63D06-C104-4AED-9E0C-DC469C03F0F2}"/>
    <cellStyle name="Comma 2 5 2 2 2 2" xfId="702" xr:uid="{D3409E10-2468-4D3B-939B-4D1DF4A25676}"/>
    <cellStyle name="Comma 2 5 2 2 2 3" xfId="703" xr:uid="{EBD147C9-1883-4607-827B-233B93EBDD54}"/>
    <cellStyle name="Comma 2 5 2 2 3" xfId="704" xr:uid="{24318A69-6864-41F3-AAE1-B31DB8AD826B}"/>
    <cellStyle name="Comma 2 5 2 2 4" xfId="705" xr:uid="{2A231DEA-4CAD-402B-8383-47AC0DD6DAAB}"/>
    <cellStyle name="Comma 2 5 2 3" xfId="706" xr:uid="{D3352F8A-76BA-4FF8-ADAF-DD9E290125ED}"/>
    <cellStyle name="Comma 2 5 2 3 2" xfId="707" xr:uid="{6E56D4AC-5B01-41E1-BE16-3002B0B988F5}"/>
    <cellStyle name="Comma 2 5 2 3 3" xfId="708" xr:uid="{CCF9E8C3-3B7C-4A39-A023-35CB6BB7B667}"/>
    <cellStyle name="Comma 2 5 2 4" xfId="709" xr:uid="{D1930C67-88C3-4973-8424-F7B21F2A5561}"/>
    <cellStyle name="Comma 2 5 2 5" xfId="710" xr:uid="{FF4C5152-32F4-41FB-884D-57B349A343A4}"/>
    <cellStyle name="Comma 2 5 3" xfId="711" xr:uid="{DDCFD860-E4D4-4D60-AF3D-4B46002FFE53}"/>
    <cellStyle name="Comma 2 5 3 2" xfId="712" xr:uid="{2F57AF9D-6347-4DD9-8D87-C70730BE9C7B}"/>
    <cellStyle name="Comma 2 5 3 2 2" xfId="713" xr:uid="{B4480A0F-7244-4A29-8BC2-CBBB9EBD32FD}"/>
    <cellStyle name="Comma 2 5 3 2 3" xfId="714" xr:uid="{241A50F0-F9D7-4554-95CA-874E3D7AB31F}"/>
    <cellStyle name="Comma 2 5 3 3" xfId="715" xr:uid="{DD2D6CD2-1A4A-45D8-A6C3-FD9A53057B49}"/>
    <cellStyle name="Comma 2 5 3 4" xfId="716" xr:uid="{A2285685-0C4C-4E3E-B0CD-C97F73FBFE24}"/>
    <cellStyle name="Comma 2 5 4" xfId="717" xr:uid="{B0136EC0-0830-4920-A347-258CBB027386}"/>
    <cellStyle name="Comma 2 5 4 2" xfId="718" xr:uid="{7C04DF78-138C-47D5-BEDA-27CE31F47E09}"/>
    <cellStyle name="Comma 2 5 4 3" xfId="719" xr:uid="{6427E893-A3C8-4089-A6D3-9ED01CA4BBE0}"/>
    <cellStyle name="Comma 2 5 5" xfId="720" xr:uid="{893723F1-264C-42FD-97D0-7EE0842B5E91}"/>
    <cellStyle name="Comma 2 5 6" xfId="721" xr:uid="{4117D539-A2EA-469D-89BC-B1FF4B990AB2}"/>
    <cellStyle name="Comma 2 5 7" xfId="722" xr:uid="{EF7B7523-E447-4032-83FF-44CE0F625667}"/>
    <cellStyle name="Comma 2 5 8" xfId="723" xr:uid="{1D97BCFB-9CB3-4CC6-AC13-1F284BECDF45}"/>
    <cellStyle name="Comma 2 6" xfId="724" xr:uid="{278168E5-A67D-4F3A-A294-669171712283}"/>
    <cellStyle name="Comma 2 6 2" xfId="725" xr:uid="{AAC739A6-55FF-4DB7-B093-5C2B03DFA4E1}"/>
    <cellStyle name="Comma 2 6 2 2" xfId="726" xr:uid="{DB6CD32B-28CB-4169-B62A-64D75B113464}"/>
    <cellStyle name="Comma 2 6 2 2 2" xfId="727" xr:uid="{7756816A-B337-4A00-B932-EAF31FCDAE5B}"/>
    <cellStyle name="Comma 2 6 2 2 2 2" xfId="728" xr:uid="{854E4F77-9A25-4012-81C3-B4442D7F2F4F}"/>
    <cellStyle name="Comma 2 6 2 2 2 3" xfId="729" xr:uid="{90E329DA-A2EE-4E0A-8DBD-7E8731EE9F2B}"/>
    <cellStyle name="Comma 2 6 2 2 3" xfId="730" xr:uid="{C50B6882-122C-4EFC-9AE4-2F924F762EAF}"/>
    <cellStyle name="Comma 2 6 2 2 4" xfId="731" xr:uid="{F7956F74-B8B7-41A9-94EC-338F00A5EE57}"/>
    <cellStyle name="Comma 2 6 2 3" xfId="732" xr:uid="{2B559AC6-F9E6-421F-9A06-60BB195E7373}"/>
    <cellStyle name="Comma 2 6 2 3 2" xfId="733" xr:uid="{37DF962F-EB72-46BD-AB92-F44866C33DA1}"/>
    <cellStyle name="Comma 2 6 2 3 3" xfId="734" xr:uid="{2C2794DA-F890-42AA-B148-B70EBCF98246}"/>
    <cellStyle name="Comma 2 6 2 4" xfId="735" xr:uid="{2F726482-7568-439F-89A3-A2695457F509}"/>
    <cellStyle name="Comma 2 6 2 5" xfId="736" xr:uid="{14F0461F-4DE5-4210-8237-60079734A0A6}"/>
    <cellStyle name="Comma 2 6 3" xfId="737" xr:uid="{443C1883-4995-48BD-84FB-D2764C679948}"/>
    <cellStyle name="Comma 2 6 3 2" xfId="738" xr:uid="{6242944B-F4A4-474C-A327-63C0720D6C0E}"/>
    <cellStyle name="Comma 2 6 3 2 2" xfId="739" xr:uid="{975F1C54-5474-4208-93E9-98B053F12A33}"/>
    <cellStyle name="Comma 2 6 3 2 3" xfId="740" xr:uid="{983EB9E3-CA8B-465B-A652-C7ECE9ADD383}"/>
    <cellStyle name="Comma 2 6 3 3" xfId="741" xr:uid="{B56289EF-16D9-4DBF-84AE-DFE08B048B5C}"/>
    <cellStyle name="Comma 2 6 3 4" xfId="742" xr:uid="{1BCB21B7-AC25-44D8-8581-8F827F406E19}"/>
    <cellStyle name="Comma 2 6 4" xfId="743" xr:uid="{F3B98909-7C70-45CE-8C30-BFB4CEF09728}"/>
    <cellStyle name="Comma 2 6 4 2" xfId="744" xr:uid="{B29D5580-47FC-40BD-A268-63A869786F6B}"/>
    <cellStyle name="Comma 2 6 4 3" xfId="745" xr:uid="{4B105FB2-96FB-4F61-801B-F27D3CE4B3AC}"/>
    <cellStyle name="Comma 2 6 5" xfId="746" xr:uid="{141BE943-92EB-40A0-AC29-C66E68E3E6D6}"/>
    <cellStyle name="Comma 2 6 6" xfId="747" xr:uid="{8AF40BEA-A125-464C-A70B-5A631085B2DF}"/>
    <cellStyle name="Comma 2 6 7" xfId="748" xr:uid="{31699BC0-588B-42A8-A7F2-73379FBA2FA2}"/>
    <cellStyle name="Comma 2 7" xfId="749" xr:uid="{743A69CA-C05A-4EE8-8671-8CE44D29E9AB}"/>
    <cellStyle name="Comma 2 7 2" xfId="750" xr:uid="{A75981DD-CD21-4E49-8430-736E9B0BC612}"/>
    <cellStyle name="Comma 2 7 2 2" xfId="751" xr:uid="{569352E0-9AB4-4CCD-ACC1-786553DC67FA}"/>
    <cellStyle name="Comma 2 7 2 2 2" xfId="752" xr:uid="{2477CCB3-6433-41B3-BEC0-4C7ED0711C37}"/>
    <cellStyle name="Comma 2 7 2 2 3" xfId="753" xr:uid="{ED014E2D-849F-41F8-B6C1-C0BBD6E251FF}"/>
    <cellStyle name="Comma 2 7 2 3" xfId="754" xr:uid="{ADE9B669-7B11-43CE-8476-DC459C4C34FB}"/>
    <cellStyle name="Comma 2 7 2 4" xfId="755" xr:uid="{DAEB9F1C-9574-4D0B-892D-A12BF1E4EC72}"/>
    <cellStyle name="Comma 2 7 3" xfId="756" xr:uid="{603B5BEB-674B-485E-9858-9039213A46A0}"/>
    <cellStyle name="Comma 2 7 3 2" xfId="757" xr:uid="{60280E73-732C-40CB-A072-A11A539E646C}"/>
    <cellStyle name="Comma 2 7 3 3" xfId="758" xr:uid="{D1040687-F36C-4477-92BE-A55D44D6F11C}"/>
    <cellStyle name="Comma 2 7 4" xfId="759" xr:uid="{302BE856-5E02-4919-BD65-21DCACBE03C1}"/>
    <cellStyle name="Comma 2 7 5" xfId="760" xr:uid="{17B47C96-B618-4E5E-BB05-C1348EC53258}"/>
    <cellStyle name="Comma 2 8" xfId="761" xr:uid="{A812F3B4-332F-43C8-B2B6-84774DB69A46}"/>
    <cellStyle name="Comma 2 8 2" xfId="762" xr:uid="{8432A371-88A3-40A1-B154-FF634B079DA8}"/>
    <cellStyle name="Comma 2 8 2 2" xfId="763" xr:uid="{F940A2CC-3A3D-47C5-82D4-D0DF030F9C51}"/>
    <cellStyle name="Comma 2 8 2 3" xfId="764" xr:uid="{0F648FBC-792C-4736-80CE-BE4F4FAFCC83}"/>
    <cellStyle name="Comma 2 8 3" xfId="765" xr:uid="{D803A50B-9BE6-4D3F-AD79-09AEC45019B1}"/>
    <cellStyle name="Comma 2 8 4" xfId="766" xr:uid="{59740960-22C4-4D04-A9AD-1D91CBE8FFDB}"/>
    <cellStyle name="Comma 2 9" xfId="767" xr:uid="{D5208CC5-7C06-47D2-8BBB-DBDA341C094B}"/>
    <cellStyle name="Comma 2 9 2" xfId="768" xr:uid="{1440AD16-17B1-41AA-8B4F-F647006324F5}"/>
    <cellStyle name="Comma 2 9 3" xfId="769" xr:uid="{A94A3F6C-068F-4E2D-97DC-C1CD03D4E373}"/>
    <cellStyle name="Comma 3" xfId="770" xr:uid="{B2A8E8E6-F15D-4C71-9D8F-0DCDCFD94668}"/>
    <cellStyle name="Comma 3 10" xfId="771" xr:uid="{07648448-2FAC-40B8-B3C5-9AC60A6CA740}"/>
    <cellStyle name="Comma 3 11" xfId="772" xr:uid="{9E46EBDE-8F4D-4853-AB50-0016E43780C0}"/>
    <cellStyle name="Comma 3 2" xfId="773" xr:uid="{ED26234B-93B8-4158-946C-DDD124351C1E}"/>
    <cellStyle name="Comma 3 2 2" xfId="774" xr:uid="{0DAF8092-677B-43EC-841A-3E50A38FA2A4}"/>
    <cellStyle name="Comma 3 2 2 2" xfId="775" xr:uid="{2D72422E-A4A4-4F96-9BBD-8661BB2AD304}"/>
    <cellStyle name="Comma 3 2 2 2 2" xfId="776" xr:uid="{D7B31A50-A691-418C-BB0F-BE4134349B89}"/>
    <cellStyle name="Comma 3 2 2 2 2 2" xfId="777" xr:uid="{F7807B6E-1155-4407-A651-A1233EF8EF5C}"/>
    <cellStyle name="Comma 3 2 2 2 2 3" xfId="778" xr:uid="{8EB049A1-3816-4CEA-BCB3-FEA73F3BA59E}"/>
    <cellStyle name="Comma 3 2 2 2 3" xfId="779" xr:uid="{B21B6DCE-AC6C-4342-A917-2AFC36BC40E9}"/>
    <cellStyle name="Comma 3 2 2 2 4" xfId="780" xr:uid="{B31D023C-3EA9-4F66-9698-35790D035654}"/>
    <cellStyle name="Comma 3 2 2 3" xfId="781" xr:uid="{37884876-763C-4E80-B91E-30B1A781E90C}"/>
    <cellStyle name="Comma 3 2 2 3 2" xfId="782" xr:uid="{A027AA88-F55B-4429-B9A3-2233B12A1D90}"/>
    <cellStyle name="Comma 3 2 2 3 3" xfId="783" xr:uid="{EED5CD26-4FAC-46D6-8C9F-87FFE99F5708}"/>
    <cellStyle name="Comma 3 2 2 4" xfId="784" xr:uid="{CE4436BA-870D-4425-A79E-22D24DDBC3DC}"/>
    <cellStyle name="Comma 3 2 2 5" xfId="785" xr:uid="{BCEF9B5E-46EC-4420-A278-58AFBBF99438}"/>
    <cellStyle name="Comma 3 2 2 6" xfId="786" xr:uid="{4B94358A-71C1-41E1-A904-98BEED1E849D}"/>
    <cellStyle name="Comma 3 2 2 7" xfId="787" xr:uid="{94FDC15D-1B2D-473B-87FC-66454074E2F5}"/>
    <cellStyle name="Comma 3 2 3" xfId="788" xr:uid="{CF66843C-603B-42D5-B0D6-E099FFF228A6}"/>
    <cellStyle name="Comma 3 2 3 2" xfId="789" xr:uid="{10E3FE9C-69B4-4769-937B-57E5B7EC5DAD}"/>
    <cellStyle name="Comma 3 2 3 2 2" xfId="790" xr:uid="{3E94D236-9E14-483C-BD14-939384D2CC50}"/>
    <cellStyle name="Comma 3 2 3 2 2 2" xfId="791" xr:uid="{53BA809C-2157-437A-A1CF-F8618039BA0C}"/>
    <cellStyle name="Comma 3 2 3 2 2 3" xfId="792" xr:uid="{7E7DDEA3-F170-4DB5-912C-E64AFC9D24FD}"/>
    <cellStyle name="Comma 3 2 3 2 3" xfId="793" xr:uid="{9D4DDCE7-76EC-483A-A632-B86BFBB8BC4C}"/>
    <cellStyle name="Comma 3 2 3 2 4" xfId="794" xr:uid="{73B393EA-67F5-4222-91F9-AC43F0984AB9}"/>
    <cellStyle name="Comma 3 2 3 3" xfId="795" xr:uid="{1187D0A0-A9EC-408A-9675-7DE8812FE63B}"/>
    <cellStyle name="Comma 3 2 3 3 2" xfId="796" xr:uid="{C35998AC-17EC-43DD-A31C-EE6C0AEFEF0E}"/>
    <cellStyle name="Comma 3 2 3 3 3" xfId="797" xr:uid="{D24E2D5A-F7E2-4098-A399-B2BCCE0CEAF0}"/>
    <cellStyle name="Comma 3 2 3 4" xfId="798" xr:uid="{2CAE876A-74DD-4653-9DD5-057C8D45CDFA}"/>
    <cellStyle name="Comma 3 2 3 5" xfId="799" xr:uid="{1596F057-0CDD-4E0B-8C3C-B14AF12C4DA1}"/>
    <cellStyle name="Comma 3 2 3 6" xfId="800" xr:uid="{9B769F03-E73D-4170-A1BD-DDEDB0816922}"/>
    <cellStyle name="Comma 3 2 4" xfId="801" xr:uid="{5770BF88-F255-46C9-A8E0-DD4A8ED3CECE}"/>
    <cellStyle name="Comma 3 2 4 2" xfId="802" xr:uid="{4E9878F6-FE89-4085-A706-BDE9FA4B1F58}"/>
    <cellStyle name="Comma 3 2 4 2 2" xfId="803" xr:uid="{4AE51D3D-D148-4015-8899-ECD945C262A1}"/>
    <cellStyle name="Comma 3 2 4 2 3" xfId="804" xr:uid="{E3AE7F82-6F9D-4AF7-B26B-2AAE4835A21D}"/>
    <cellStyle name="Comma 3 2 4 3" xfId="805" xr:uid="{CC18BB31-83F6-4B50-A7B1-6A885AE73B4E}"/>
    <cellStyle name="Comma 3 2 4 4" xfId="806" xr:uid="{E8DC0F58-388F-4610-AD00-682EA0D318EF}"/>
    <cellStyle name="Comma 3 2 5" xfId="807" xr:uid="{731BC783-9ED8-479E-B63C-300801D4DA48}"/>
    <cellStyle name="Comma 3 2 5 2" xfId="808" xr:uid="{D0CEA666-04DE-4040-B10B-EC6E612651B9}"/>
    <cellStyle name="Comma 3 2 5 3" xfId="809" xr:uid="{CAF1C5BC-EB27-4B35-B5CE-B85CC8F3C0CC}"/>
    <cellStyle name="Comma 3 2 6" xfId="810" xr:uid="{935E609A-C7CF-44C3-903E-AAF83ED73375}"/>
    <cellStyle name="Comma 3 2 7" xfId="811" xr:uid="{18980A06-E415-4B36-8522-C58191D213B5}"/>
    <cellStyle name="Comma 3 2 8" xfId="812" xr:uid="{8A17F4EF-EEBC-4C02-A231-3A4116491FAA}"/>
    <cellStyle name="Comma 3 3" xfId="813" xr:uid="{1D8C6610-1F54-44A3-AAFF-C615B7B85361}"/>
    <cellStyle name="Comma 3 3 2" xfId="814" xr:uid="{33AB4532-B067-4660-9D93-3AE0591FEAD4}"/>
    <cellStyle name="Comma 3 3 2 2" xfId="815" xr:uid="{F9DA03EE-A061-4FFF-8232-2CC75FBD2DDB}"/>
    <cellStyle name="Comma 3 3 2 2 2" xfId="816" xr:uid="{F1BEEC9E-964F-49E5-A1A3-3C1426279EA0}"/>
    <cellStyle name="Comma 3 3 2 2 2 2" xfId="817" xr:uid="{513E1CA9-D077-44F2-97EC-C0CAD58E7611}"/>
    <cellStyle name="Comma 3 3 2 2 2 3" xfId="818" xr:uid="{1A480281-76C7-48A9-A27C-E9255FC4152E}"/>
    <cellStyle name="Comma 3 3 2 2 3" xfId="819" xr:uid="{8551358B-B952-453F-BF46-C1304E6E85D1}"/>
    <cellStyle name="Comma 3 3 2 2 4" xfId="820" xr:uid="{4BF2C2C6-5313-438C-8430-2F136E26AF82}"/>
    <cellStyle name="Comma 3 3 2 3" xfId="821" xr:uid="{BF02F256-A11C-4C44-A488-1458C05BD296}"/>
    <cellStyle name="Comma 3 3 2 3 2" xfId="822" xr:uid="{38629672-C79B-41F2-92AF-B3AE21196B22}"/>
    <cellStyle name="Comma 3 3 2 3 3" xfId="823" xr:uid="{BCFB1E4C-F11F-4962-AC74-6A52DF041E32}"/>
    <cellStyle name="Comma 3 3 2 4" xfId="824" xr:uid="{CA39F980-6E2C-49C1-9531-FD462AF1BF4A}"/>
    <cellStyle name="Comma 3 3 2 5" xfId="825" xr:uid="{CDEC1769-31E6-4E1A-A2CB-117576EF4B8B}"/>
    <cellStyle name="Comma 3 3 3" xfId="826" xr:uid="{0E65D6A4-3FE6-4762-9B7B-0F402DA9C4A8}"/>
    <cellStyle name="Comma 3 3 3 2" xfId="827" xr:uid="{7FD5AE64-F71B-45C9-AFD8-714D604D3483}"/>
    <cellStyle name="Comma 3 3 3 2 2" xfId="828" xr:uid="{69FF7272-35E5-474A-A238-C3D50CFC1E21}"/>
    <cellStyle name="Comma 3 3 3 2 3" xfId="829" xr:uid="{5BF412AD-5735-43A9-B242-52AF9E27FCC2}"/>
    <cellStyle name="Comma 3 3 3 3" xfId="830" xr:uid="{A6A3B558-5292-45C4-B127-6D1104C5E90B}"/>
    <cellStyle name="Comma 3 3 3 4" xfId="831" xr:uid="{E3B75319-A142-4D24-851E-68AF3512724A}"/>
    <cellStyle name="Comma 3 3 4" xfId="832" xr:uid="{2CCE624F-6D06-4CC2-A53E-8A72E50C9A5C}"/>
    <cellStyle name="Comma 3 3 4 2" xfId="833" xr:uid="{011C7975-5FFB-4571-BBC2-A410D2C6841C}"/>
    <cellStyle name="Comma 3 3 4 3" xfId="834" xr:uid="{62B38FBC-6415-4503-A86F-830A4A085F3D}"/>
    <cellStyle name="Comma 3 3 5" xfId="835" xr:uid="{208F2930-F681-4B32-9D9E-7244C2A08D5A}"/>
    <cellStyle name="Comma 3 3 6" xfId="836" xr:uid="{647070A1-3FE8-45A9-8BDD-52F1A1C6F9B2}"/>
    <cellStyle name="Comma 3 3 7" xfId="837" xr:uid="{BB894A57-5758-47EE-B805-27AC9D00AFE6}"/>
    <cellStyle name="Comma 3 3 8" xfId="838" xr:uid="{8E89D7A0-F33B-4121-A48C-391EFBE7720C}"/>
    <cellStyle name="Comma 3 4" xfId="839" xr:uid="{3D939EF1-F485-4E13-96C1-483A15804267}"/>
    <cellStyle name="Comma 3 4 2" xfId="840" xr:uid="{ADF0F9C7-8F72-4C3F-B1B2-E35DB7E5F912}"/>
    <cellStyle name="Comma 3 4 2 2" xfId="841" xr:uid="{52169F09-143F-45C5-AD78-7B24C621AF2C}"/>
    <cellStyle name="Comma 3 4 2 2 2" xfId="842" xr:uid="{4B2479DB-AAA3-4D8B-A0A7-E0CB19955E1A}"/>
    <cellStyle name="Comma 3 4 2 2 2 2" xfId="843" xr:uid="{844E1D06-E421-489B-92EE-792C5F4E0AC9}"/>
    <cellStyle name="Comma 3 4 2 2 2 3" xfId="844" xr:uid="{64B3780B-A20C-47DE-8916-26310102EDA0}"/>
    <cellStyle name="Comma 3 4 2 2 3" xfId="845" xr:uid="{330189F7-8B2D-4D18-BF0A-CBAD27F18882}"/>
    <cellStyle name="Comma 3 4 2 2 4" xfId="846" xr:uid="{AA2A2509-BF87-4AC9-AA4D-64A36F7317AC}"/>
    <cellStyle name="Comma 3 4 2 3" xfId="847" xr:uid="{4962C8E2-A303-452D-BE23-D2FE4D0E2B12}"/>
    <cellStyle name="Comma 3 4 2 3 2" xfId="848" xr:uid="{5591C248-A165-4F95-83E7-4239ED7DE129}"/>
    <cellStyle name="Comma 3 4 2 3 3" xfId="849" xr:uid="{0F2F6A6D-5616-45C8-A216-3EB13B3F8A8C}"/>
    <cellStyle name="Comma 3 4 2 4" xfId="850" xr:uid="{45CB3AA0-5B5D-4A0B-890B-C4CB44E7E849}"/>
    <cellStyle name="Comma 3 4 2 5" xfId="851" xr:uid="{A6C420AF-96EB-4DEA-BE7E-38CF716EFEAF}"/>
    <cellStyle name="Comma 3 4 3" xfId="852" xr:uid="{584758B0-D58F-491F-A34A-735ED5D0AE23}"/>
    <cellStyle name="Comma 3 4 3 2" xfId="853" xr:uid="{43C93833-D827-4FB5-BBD3-1B2085FFAD8E}"/>
    <cellStyle name="Comma 3 4 3 2 2" xfId="854" xr:uid="{145ED4DC-64B9-4598-86EC-2B30641E1936}"/>
    <cellStyle name="Comma 3 4 3 2 3" xfId="855" xr:uid="{640CDC0B-9D68-42B5-B074-3AF279729CC4}"/>
    <cellStyle name="Comma 3 4 3 3" xfId="856" xr:uid="{E2BAC265-1723-4095-B38D-4DC8C150B2FE}"/>
    <cellStyle name="Comma 3 4 3 4" xfId="857" xr:uid="{7B67137A-CEDE-44C9-950E-7A6826106DEB}"/>
    <cellStyle name="Comma 3 4 4" xfId="858" xr:uid="{34B1818E-12CF-42DE-A080-667747BBBC23}"/>
    <cellStyle name="Comma 3 4 4 2" xfId="859" xr:uid="{3B8D5EC1-127E-4F7E-AB9B-9E39597353A7}"/>
    <cellStyle name="Comma 3 4 4 3" xfId="860" xr:uid="{944DEA0A-9D4D-408B-BBAB-F2E5769D89CF}"/>
    <cellStyle name="Comma 3 4 5" xfId="861" xr:uid="{C4F095B3-1F82-4803-9067-27463ADF9787}"/>
    <cellStyle name="Comma 3 4 6" xfId="862" xr:uid="{7DE9E8C8-D14A-4109-B231-4C70548BD92C}"/>
    <cellStyle name="Comma 3 4 7" xfId="863" xr:uid="{747006A0-0E7C-4184-8A78-072D4F302213}"/>
    <cellStyle name="Comma 3 5" xfId="864" xr:uid="{5981F1C2-FA6A-4220-9E9F-BDDD0B77A13D}"/>
    <cellStyle name="Comma 3 5 2" xfId="865" xr:uid="{5AF40830-7888-4124-858C-61CCD15CD772}"/>
    <cellStyle name="Comma 3 5 2 2" xfId="866" xr:uid="{A01CFF50-3FAE-4C06-9E31-06993F7D3A72}"/>
    <cellStyle name="Comma 3 5 2 2 2" xfId="867" xr:uid="{F9EFB79C-BAFB-4A12-B42F-B06562145E99}"/>
    <cellStyle name="Comma 3 5 2 2 3" xfId="868" xr:uid="{51504E5B-3504-466F-85F4-5CF211588633}"/>
    <cellStyle name="Comma 3 5 2 3" xfId="869" xr:uid="{DE7A83B1-4F27-4FA4-BBAA-847487395654}"/>
    <cellStyle name="Comma 3 5 2 4" xfId="870" xr:uid="{6010A6DF-5DD4-4837-8963-7C1E38C1F12D}"/>
    <cellStyle name="Comma 3 5 3" xfId="871" xr:uid="{528EFDBE-0A50-4B41-964D-D4D33E2DE365}"/>
    <cellStyle name="Comma 3 5 3 2" xfId="872" xr:uid="{C02AE160-2099-40E9-820D-559069C88B59}"/>
    <cellStyle name="Comma 3 5 3 3" xfId="873" xr:uid="{7134B5DF-2E70-47DC-A7A3-3CD52F61996E}"/>
    <cellStyle name="Comma 3 5 4" xfId="874" xr:uid="{19A473FE-5FED-4508-AD5B-35043DD667BF}"/>
    <cellStyle name="Comma 3 5 5" xfId="875" xr:uid="{5E1582C9-199A-4BA9-ADCE-41BBB88CB136}"/>
    <cellStyle name="Comma 3 6" xfId="876" xr:uid="{47A1A88C-4A7B-481D-9EE4-E4697B06B85E}"/>
    <cellStyle name="Comma 3 6 2" xfId="877" xr:uid="{31BC7CCE-C223-4F83-BC84-FF03EC9BA791}"/>
    <cellStyle name="Comma 3 6 2 2" xfId="878" xr:uid="{5A7D4BAF-F69D-407E-B206-E198F97A188D}"/>
    <cellStyle name="Comma 3 6 2 2 2" xfId="879" xr:uid="{0792203A-D533-45BB-9FAE-B8107DEEE8B7}"/>
    <cellStyle name="Comma 3 6 2 2 3" xfId="880" xr:uid="{EF9AFA9C-4B06-4729-905C-71F52422A8AB}"/>
    <cellStyle name="Comma 3 6 2 3" xfId="881" xr:uid="{D4B3725F-ADB4-43B7-B50F-56B9BE4201A3}"/>
    <cellStyle name="Comma 3 6 2 4" xfId="882" xr:uid="{BA4BCF38-768B-4590-B37D-10CB646463AB}"/>
    <cellStyle name="Comma 3 6 3" xfId="883" xr:uid="{CBACEDAB-C7BD-4B28-A191-87A589D8EE73}"/>
    <cellStyle name="Comma 3 6 3 2" xfId="884" xr:uid="{87BA2959-C53A-40E2-BEAB-19EC4DACE2F2}"/>
    <cellStyle name="Comma 3 6 3 3" xfId="885" xr:uid="{EF01F16F-B6DB-40C7-AAD0-FE99FA3D1722}"/>
    <cellStyle name="Comma 3 6 4" xfId="886" xr:uid="{80EF3F6F-AFF5-479A-83DF-0E80D6DBE5BE}"/>
    <cellStyle name="Comma 3 6 5" xfId="887" xr:uid="{C0FB7F64-D9F9-4FBA-BAD9-15A722B5550F}"/>
    <cellStyle name="Comma 3 7" xfId="888" xr:uid="{CCD87C78-F952-402A-93F3-4F99D504F527}"/>
    <cellStyle name="Comma 3 7 2" xfId="889" xr:uid="{FFD91F5F-A02F-4DA6-B327-3EA6E3580964}"/>
    <cellStyle name="Comma 3 7 2 2" xfId="890" xr:uid="{D54A2FAC-B738-4330-B676-9F1E2ED5710B}"/>
    <cellStyle name="Comma 3 7 2 3" xfId="891" xr:uid="{83412EAF-8722-4EED-9934-8126B09CEA1D}"/>
    <cellStyle name="Comma 3 7 3" xfId="892" xr:uid="{7D20E4B6-42F1-4839-8A84-B7A575C795ED}"/>
    <cellStyle name="Comma 3 7 4" xfId="893" xr:uid="{16EA051C-161D-4C40-9839-C478B5D110C0}"/>
    <cellStyle name="Comma 3 8" xfId="894" xr:uid="{9ABD3506-DD5A-46A8-86DB-54E0B920EC69}"/>
    <cellStyle name="Comma 3 8 2" xfId="895" xr:uid="{D9D18BFB-7537-4E15-9D85-B36E36DA5BF4}"/>
    <cellStyle name="Comma 3 8 3" xfId="896" xr:uid="{9ACAB969-A0F6-4E77-8093-92C89A8820D4}"/>
    <cellStyle name="Comma 3 9" xfId="897" xr:uid="{F1184665-C87D-4F5B-B020-067864749F09}"/>
    <cellStyle name="Comma 4" xfId="898" xr:uid="{C0331DEE-C6F4-406E-B38D-2111A4783A9B}"/>
    <cellStyle name="Comma 4 10" xfId="899" xr:uid="{5747E80F-8864-421F-908E-847FC3573653}"/>
    <cellStyle name="Comma 4 11" xfId="900" xr:uid="{D8934211-70A9-4C97-B58A-736EDD35A5B9}"/>
    <cellStyle name="Comma 4 2" xfId="901" xr:uid="{76218608-4B2B-4200-BAC0-267510DA025D}"/>
    <cellStyle name="Comma 4 2 2" xfId="902" xr:uid="{20398161-568B-4792-B348-61000EB2116D}"/>
    <cellStyle name="Comma 4 2 2 2" xfId="903" xr:uid="{477BD93A-B8C9-4756-965D-A39A86885A78}"/>
    <cellStyle name="Comma 4 2 2 2 2" xfId="904" xr:uid="{1AC37ADD-53D7-4C95-8890-1DCFC983BEB4}"/>
    <cellStyle name="Comma 4 2 2 2 2 2" xfId="905" xr:uid="{6317B22E-9A59-4F63-BA8A-685AAD7C50A7}"/>
    <cellStyle name="Comma 4 2 2 2 2 3" xfId="906" xr:uid="{43007C30-0D3B-4EB2-ACA1-AF2E9A86C710}"/>
    <cellStyle name="Comma 4 2 2 2 3" xfId="907" xr:uid="{B6FF557D-8696-4B7A-87B4-463379B61F76}"/>
    <cellStyle name="Comma 4 2 2 2 4" xfId="908" xr:uid="{A79F8DB8-E68E-4EF2-977A-FC38491DC108}"/>
    <cellStyle name="Comma 4 2 2 2 5" xfId="909" xr:uid="{F1EBA583-387A-4580-8309-358AD65E3F02}"/>
    <cellStyle name="Comma 4 2 2 3" xfId="910" xr:uid="{67B3F483-CDD4-473B-9B04-2B94ECC5D1F0}"/>
    <cellStyle name="Comma 4 2 2 3 2" xfId="911" xr:uid="{5E27D7A2-B9EE-4836-B0AF-93FF9E562EFA}"/>
    <cellStyle name="Comma 4 2 2 3 3" xfId="912" xr:uid="{5748861A-3B35-455C-822F-D3943CF96F0F}"/>
    <cellStyle name="Comma 4 2 2 3 4" xfId="913" xr:uid="{B9933CFF-1359-49EB-8F80-7872ABF6A330}"/>
    <cellStyle name="Comma 4 2 2 4" xfId="914" xr:uid="{5FCE05B1-4E76-4206-94C4-055F5C2B72F0}"/>
    <cellStyle name="Comma 4 2 2 5" xfId="915" xr:uid="{7605AF22-AE2D-4232-9848-4BE6F0F26730}"/>
    <cellStyle name="Comma 4 2 2 6" xfId="916" xr:uid="{3FBBCEF4-3B89-4E32-B938-EE9D891C08CB}"/>
    <cellStyle name="Comma 4 2 2 7" xfId="917" xr:uid="{BD11DAA6-84A8-4460-9813-914E6175255E}"/>
    <cellStyle name="Comma 4 2 3" xfId="918" xr:uid="{4056ED1C-1B36-4748-AA6F-4E00D8212174}"/>
    <cellStyle name="Comma 4 2 3 2" xfId="919" xr:uid="{8E14A634-E088-49C1-BE83-0B36F8330B79}"/>
    <cellStyle name="Comma 4 2 3 2 2" xfId="920" xr:uid="{972F1F5A-1631-4AC5-B5D7-DAF0092426DB}"/>
    <cellStyle name="Comma 4 2 3 2 2 2" xfId="921" xr:uid="{4789F777-971A-436A-99E8-45F6E6B13594}"/>
    <cellStyle name="Comma 4 2 3 2 2 3" xfId="922" xr:uid="{DE225409-FEA4-4982-B32D-AD697E3426F0}"/>
    <cellStyle name="Comma 4 2 3 2 3" xfId="923" xr:uid="{5F211BE7-FCBA-4B5E-A8C6-8D0F099C732B}"/>
    <cellStyle name="Comma 4 2 3 2 4" xfId="924" xr:uid="{0267245E-475F-4203-9B34-DFB070E8F2D3}"/>
    <cellStyle name="Comma 4 2 3 3" xfId="925" xr:uid="{ED1D62FC-6857-45DF-BBCA-3AB7EFD1167F}"/>
    <cellStyle name="Comma 4 2 3 3 2" xfId="926" xr:uid="{7EC9FBE2-2D04-4EAB-9CCE-AE5D51C38CBB}"/>
    <cellStyle name="Comma 4 2 3 3 3" xfId="927" xr:uid="{AAE57A5F-8CFC-4165-B4C3-2CCAA3A27846}"/>
    <cellStyle name="Comma 4 2 3 4" xfId="928" xr:uid="{95C6886A-DFBB-4AD7-854C-CB796B64EAC5}"/>
    <cellStyle name="Comma 4 2 3 5" xfId="929" xr:uid="{5D1B834E-3038-4FA3-80ED-77E4D6435504}"/>
    <cellStyle name="Comma 4 2 3 6" xfId="930" xr:uid="{48149713-0B73-41AE-893A-26B87239714F}"/>
    <cellStyle name="Comma 4 2 3 7" xfId="931" xr:uid="{04537521-A45F-4577-9750-DB9B9B495597}"/>
    <cellStyle name="Comma 4 2 4" xfId="932" xr:uid="{6738D269-FDD4-411D-A22A-F57767544989}"/>
    <cellStyle name="Comma 4 2 4 2" xfId="933" xr:uid="{8958D144-5D36-4DA3-AE97-2443B32959F5}"/>
    <cellStyle name="Comma 4 2 4 2 2" xfId="934" xr:uid="{987261B1-327B-4B4C-83D2-ABA5494F7139}"/>
    <cellStyle name="Comma 4 2 4 2 3" xfId="935" xr:uid="{88853097-8CF3-4C8F-967A-94AC6029DAF5}"/>
    <cellStyle name="Comma 4 2 4 3" xfId="936" xr:uid="{45B70414-00DA-4C8A-BBF8-2441A863CF32}"/>
    <cellStyle name="Comma 4 2 4 4" xfId="937" xr:uid="{074622D2-B544-45E3-A509-5349B18D773D}"/>
    <cellStyle name="Comma 4 2 5" xfId="938" xr:uid="{4CFE3420-8FBB-466D-9011-D57FE65221E2}"/>
    <cellStyle name="Comma 4 2 5 2" xfId="939" xr:uid="{67B9EEDA-E845-4150-AFA8-BD4ACAE8AB5F}"/>
    <cellStyle name="Comma 4 2 5 3" xfId="940" xr:uid="{B75A4564-4121-42AD-8BA3-B970D938D15F}"/>
    <cellStyle name="Comma 4 2 6" xfId="941" xr:uid="{931AE5C4-28C2-4A79-A4F8-920474DAB2D9}"/>
    <cellStyle name="Comma 4 2 7" xfId="942" xr:uid="{B6A2DA70-D08E-4FA4-9DE5-E84BC4F4B7F1}"/>
    <cellStyle name="Comma 4 2 8" xfId="943" xr:uid="{32CBE812-9643-435D-AFBF-53E619B5E2D7}"/>
    <cellStyle name="Comma 4 3" xfId="944" xr:uid="{8A1E4DD3-4777-4667-8AC2-0D29A9E9A907}"/>
    <cellStyle name="Comma 4 3 2" xfId="945" xr:uid="{D0F0108F-7463-42D6-A67C-57986C38FC07}"/>
    <cellStyle name="Comma 4 3 2 2" xfId="946" xr:uid="{90F6AC86-348F-4CA5-B9D8-B2060C62C42B}"/>
    <cellStyle name="Comma 4 3 2 2 2" xfId="947" xr:uid="{C0A9757B-6DAA-475E-B258-9D48EB6F4D8F}"/>
    <cellStyle name="Comma 4 3 2 2 2 2" xfId="948" xr:uid="{DB0484DB-63FE-4EFC-B2E4-DCD728FBAF91}"/>
    <cellStyle name="Comma 4 3 2 2 2 3" xfId="949" xr:uid="{0877B2AF-35B3-434B-93A9-201AE8152259}"/>
    <cellStyle name="Comma 4 3 2 2 3" xfId="950" xr:uid="{FD6B474F-0CD3-4636-BCCD-A8CCEA0C040D}"/>
    <cellStyle name="Comma 4 3 2 2 4" xfId="951" xr:uid="{C96A34DB-4741-4120-B051-3C5FBABF2FD9}"/>
    <cellStyle name="Comma 4 3 2 3" xfId="952" xr:uid="{9A5B1872-6006-48BB-BD6F-285C9F96813E}"/>
    <cellStyle name="Comma 4 3 2 3 2" xfId="953" xr:uid="{35511681-7C32-4760-ACD8-4D6F91169C9F}"/>
    <cellStyle name="Comma 4 3 2 3 3" xfId="954" xr:uid="{8C31D6DD-E73B-4311-B06F-AE98A004BC0A}"/>
    <cellStyle name="Comma 4 3 2 4" xfId="955" xr:uid="{713D6C9E-D365-4501-A683-5627B4676162}"/>
    <cellStyle name="Comma 4 3 2 5" xfId="956" xr:uid="{970565D7-FFA1-4381-897B-5C8DB8F3F6BC}"/>
    <cellStyle name="Comma 4 3 3" xfId="957" xr:uid="{F94D7F5E-D9C9-486C-9033-0A56E8E4C34C}"/>
    <cellStyle name="Comma 4 3 3 2" xfId="958" xr:uid="{6B539C36-5FA4-429B-A6D3-20100A6797FE}"/>
    <cellStyle name="Comma 4 3 3 2 2" xfId="959" xr:uid="{C16D8A49-EDB1-449A-8B77-2171F4F7DB62}"/>
    <cellStyle name="Comma 4 3 3 2 3" xfId="960" xr:uid="{0724EBCF-A3DD-4801-B99F-C7A5423AE9AE}"/>
    <cellStyle name="Comma 4 3 3 3" xfId="961" xr:uid="{C74DD0F6-FE70-4D0F-81E0-6EEE7FDE578D}"/>
    <cellStyle name="Comma 4 3 3 4" xfId="962" xr:uid="{21D643EB-6CB7-4DE7-BC02-877EC341383E}"/>
    <cellStyle name="Comma 4 3 4" xfId="963" xr:uid="{F471981F-DF5B-423B-9F0F-7D2550512461}"/>
    <cellStyle name="Comma 4 3 4 2" xfId="964" xr:uid="{284DDFE8-91CF-46A4-BB05-83C622D83B4F}"/>
    <cellStyle name="Comma 4 3 4 3" xfId="965" xr:uid="{57B34D66-9EA0-474A-A81F-23B0A41C91BC}"/>
    <cellStyle name="Comma 4 3 5" xfId="966" xr:uid="{703CEEB9-B17F-479E-937A-514FE6A6CC55}"/>
    <cellStyle name="Comma 4 3 6" xfId="967" xr:uid="{8C622757-E0A5-45F7-938F-76CC8AB85CB2}"/>
    <cellStyle name="Comma 4 3 7" xfId="968" xr:uid="{CFDEE3FB-A9F8-4F8F-B708-90ABA503359E}"/>
    <cellStyle name="Comma 4 3 8" xfId="969" xr:uid="{D35AF93B-D85E-43DC-85FD-67DC3C38CC19}"/>
    <cellStyle name="Comma 4 4" xfId="970" xr:uid="{02BEED4D-CE50-4689-9553-59234C67F58C}"/>
    <cellStyle name="Comma 4 4 2" xfId="971" xr:uid="{9059BDDF-99E9-4074-BC42-AEC9775FC8EB}"/>
    <cellStyle name="Comma 4 4 2 2" xfId="972" xr:uid="{950534D8-649F-4A83-A904-AE28F9FA862E}"/>
    <cellStyle name="Comma 4 4 2 2 2" xfId="973" xr:uid="{6A73942D-1FFA-4AB9-B366-058234C61695}"/>
    <cellStyle name="Comma 4 4 2 2 2 2" xfId="974" xr:uid="{13681DEA-24EA-43C8-A8F9-EF915BFB0ED2}"/>
    <cellStyle name="Comma 4 4 2 2 2 3" xfId="975" xr:uid="{BD2CBF1B-AC13-4CEE-B6AA-6DF28AE88B4F}"/>
    <cellStyle name="Comma 4 4 2 2 3" xfId="976" xr:uid="{F9DD81B1-A506-4FEF-8155-45415BDBC5DE}"/>
    <cellStyle name="Comma 4 4 2 2 4" xfId="977" xr:uid="{18EB5444-442D-4A2B-AFF3-96B7DD02CC32}"/>
    <cellStyle name="Comma 4 4 2 3" xfId="978" xr:uid="{52D0A7CC-47F5-475A-9DE9-86202788D16E}"/>
    <cellStyle name="Comma 4 4 2 3 2" xfId="979" xr:uid="{F15998F3-69E9-4C92-A01E-15C550352865}"/>
    <cellStyle name="Comma 4 4 2 3 3" xfId="980" xr:uid="{DAE5BB9C-7195-428C-AFD2-37CD6350A31F}"/>
    <cellStyle name="Comma 4 4 2 4" xfId="981" xr:uid="{577A2F65-87AA-4C4A-A5EE-1F2B323402E0}"/>
    <cellStyle name="Comma 4 4 2 5" xfId="982" xr:uid="{07425A94-686F-4586-823E-BA5CFE1F7668}"/>
    <cellStyle name="Comma 4 4 3" xfId="983" xr:uid="{2FA42779-E0C8-491E-8ADB-0251F5CD0555}"/>
    <cellStyle name="Comma 4 4 3 2" xfId="984" xr:uid="{361CE9A1-3B38-42A9-BB32-7D650E5FC753}"/>
    <cellStyle name="Comma 4 4 3 2 2" xfId="985" xr:uid="{902E075E-DE77-499B-9112-95D7E5D1BAA4}"/>
    <cellStyle name="Comma 4 4 3 2 3" xfId="986" xr:uid="{AAA71FE3-EB83-4CA4-AD11-73C90E725821}"/>
    <cellStyle name="Comma 4 4 3 3" xfId="987" xr:uid="{88515742-DCD7-406D-81C0-0CE9C73D86AE}"/>
    <cellStyle name="Comma 4 4 3 4" xfId="988" xr:uid="{CB7A4382-1E53-4FCE-A3DA-15BD3EA966AA}"/>
    <cellStyle name="Comma 4 4 4" xfId="989" xr:uid="{530459E0-D3EF-4127-968B-95378560DBF9}"/>
    <cellStyle name="Comma 4 4 4 2" xfId="990" xr:uid="{192222C7-3C7E-458C-9115-0DDCF4CDF42A}"/>
    <cellStyle name="Comma 4 4 4 3" xfId="991" xr:uid="{C3302F43-6A3E-4A21-A30E-ED7056C3AFD4}"/>
    <cellStyle name="Comma 4 4 5" xfId="992" xr:uid="{BDD8342C-92BC-403F-BAFF-DD43C8DAACA8}"/>
    <cellStyle name="Comma 4 4 6" xfId="993" xr:uid="{E56A5DE0-0C75-4FF7-9FAA-2B50DBE113AB}"/>
    <cellStyle name="Comma 4 4 7" xfId="994" xr:uid="{E4F537D2-FF15-462E-B62E-1035F096D383}"/>
    <cellStyle name="Comma 4 5" xfId="995" xr:uid="{DB69999C-2F98-4DEB-B5F1-C91CA9BCC95F}"/>
    <cellStyle name="Comma 4 5 2" xfId="996" xr:uid="{351E6212-CEA2-4316-84B5-51776F48086B}"/>
    <cellStyle name="Comma 4 5 2 2" xfId="997" xr:uid="{F55E7FA2-1483-45FA-BF70-B78CF21F4FAF}"/>
    <cellStyle name="Comma 4 5 2 2 2" xfId="998" xr:uid="{B1953F6B-B9CA-4FAB-A812-A4F413E9FE73}"/>
    <cellStyle name="Comma 4 5 2 2 3" xfId="999" xr:uid="{B4D34B52-333C-42B7-AF06-D95D895A4863}"/>
    <cellStyle name="Comma 4 5 2 3" xfId="1000" xr:uid="{5307A0EF-1423-43B6-B3DD-FD5C2B61803F}"/>
    <cellStyle name="Comma 4 5 2 4" xfId="1001" xr:uid="{BD042AF7-9008-4BC5-A8C1-BF92ACF28827}"/>
    <cellStyle name="Comma 4 5 3" xfId="1002" xr:uid="{09B42C45-8363-490A-AAF0-05D7CD96909C}"/>
    <cellStyle name="Comma 4 5 3 2" xfId="1003" xr:uid="{927670F3-60A9-4AE2-BAD5-2EA1D478D24D}"/>
    <cellStyle name="Comma 4 5 3 3" xfId="1004" xr:uid="{8AC03F2D-420B-46CC-A5F6-6850E01B765C}"/>
    <cellStyle name="Comma 4 5 4" xfId="1005" xr:uid="{A204AD11-0488-4C1F-A849-3566DF19E65C}"/>
    <cellStyle name="Comma 4 5 5" xfId="1006" xr:uid="{CB9AD755-72F5-4A53-8AB1-A56B2D0F1B1B}"/>
    <cellStyle name="Comma 4 6" xfId="1007" xr:uid="{3A55057F-185D-444A-9AFF-2FC1FA0D6FD8}"/>
    <cellStyle name="Comma 4 6 2" xfId="1008" xr:uid="{14764D80-9F48-486C-BA39-8FB474A09868}"/>
    <cellStyle name="Comma 4 6 2 2" xfId="1009" xr:uid="{16B16E90-FAF5-4F64-B0B3-7495353C9F54}"/>
    <cellStyle name="Comma 4 6 2 2 2" xfId="1010" xr:uid="{41188C37-5A43-45A2-9A25-E6B6E690A551}"/>
    <cellStyle name="Comma 4 6 2 2 3" xfId="1011" xr:uid="{EBC62893-71AE-44F4-9E37-503CE5F34A35}"/>
    <cellStyle name="Comma 4 6 2 3" xfId="1012" xr:uid="{277B5E69-E5C2-4EE9-8F59-1B81B02E9411}"/>
    <cellStyle name="Comma 4 6 2 4" xfId="1013" xr:uid="{AF76AED8-8DFF-4938-911F-F222AF4D8868}"/>
    <cellStyle name="Comma 4 6 3" xfId="1014" xr:uid="{1224528D-9CFC-4BAB-A0D8-DEB873CEBD54}"/>
    <cellStyle name="Comma 4 6 3 2" xfId="1015" xr:uid="{A8D5FD5E-76D4-49FE-BB6A-2713E3168488}"/>
    <cellStyle name="Comma 4 6 3 3" xfId="1016" xr:uid="{3D01D0AC-EDA0-4314-84CD-2F8C6DBC2F92}"/>
    <cellStyle name="Comma 4 6 4" xfId="1017" xr:uid="{E17F05D0-B67B-48E8-BD6D-F6DB302CC266}"/>
    <cellStyle name="Comma 4 6 5" xfId="1018" xr:uid="{85F9F922-6278-4417-A7EE-FFD76109DAB4}"/>
    <cellStyle name="Comma 4 7" xfId="1019" xr:uid="{A19B0D03-85B5-489E-97D6-F1D93931ADDA}"/>
    <cellStyle name="Comma 4 7 2" xfId="1020" xr:uid="{9A8F1838-5188-466A-9B30-ED16B9458363}"/>
    <cellStyle name="Comma 4 7 2 2" xfId="1021" xr:uid="{13E7E59D-5263-4580-8908-81065D5D5058}"/>
    <cellStyle name="Comma 4 7 2 3" xfId="1022" xr:uid="{6F15B995-2855-4EC1-BFFE-6EA8804FC8F8}"/>
    <cellStyle name="Comma 4 7 3" xfId="1023" xr:uid="{F326D662-2B93-4302-91F8-DE8BA263FA43}"/>
    <cellStyle name="Comma 4 7 4" xfId="1024" xr:uid="{3E374706-E60D-46AA-9B18-767DB70B2F85}"/>
    <cellStyle name="Comma 4 8" xfId="1025" xr:uid="{0ABE04EB-B9AB-4EBC-B338-29DCC3B2B1BD}"/>
    <cellStyle name="Comma 4 8 2" xfId="1026" xr:uid="{A4C76118-065E-4C48-97AA-A98B567F9CFA}"/>
    <cellStyle name="Comma 4 8 3" xfId="1027" xr:uid="{331E44B4-9AC3-4241-A1D4-35A7D6CDC033}"/>
    <cellStyle name="Comma 4 9" xfId="1028" xr:uid="{79207A3D-C4EA-4C17-BFCB-BB174703EDA6}"/>
    <cellStyle name="Comma 5" xfId="1029" xr:uid="{0252162B-AF27-4EA9-82E4-F6F355BAB574}"/>
    <cellStyle name="Comma 5 2" xfId="1030" xr:uid="{8C1A15E1-F3DA-484D-96B5-EB1E96257923}"/>
    <cellStyle name="Comma 5 2 2" xfId="1031" xr:uid="{5ECDB370-C0DB-47C1-A056-3C10D26C5BFA}"/>
    <cellStyle name="Comma 5 2 2 2" xfId="1032" xr:uid="{B5C4A840-89F8-46E7-9331-13CFC27EB102}"/>
    <cellStyle name="Comma 5 2 2 2 2" xfId="1033" xr:uid="{45B8BECE-D282-4A39-8DD4-1F5FEAF0B795}"/>
    <cellStyle name="Comma 5 2 2 2 2 2" xfId="1034" xr:uid="{6AE1AF57-3925-4DDF-BA70-B2879C9697B2}"/>
    <cellStyle name="Comma 5 2 2 2 2 3" xfId="1035" xr:uid="{F84A43DE-1F7E-44A1-8DF5-46E210F8C868}"/>
    <cellStyle name="Comma 5 2 2 2 3" xfId="1036" xr:uid="{556A9821-8A8E-4A25-A219-426FC83B4A04}"/>
    <cellStyle name="Comma 5 2 2 2 4" xfId="1037" xr:uid="{32916791-8A45-467B-BA5B-0B62366DE396}"/>
    <cellStyle name="Comma 5 2 2 3" xfId="1038" xr:uid="{B9839E45-4054-46AD-87BC-F8F01EC3B87F}"/>
    <cellStyle name="Comma 5 2 2 3 2" xfId="1039" xr:uid="{FDC2D603-64B1-4FA1-AC77-ADEF79F78316}"/>
    <cellStyle name="Comma 5 2 2 3 3" xfId="1040" xr:uid="{D5C62B19-D163-46F6-B69F-2163545C5F0F}"/>
    <cellStyle name="Comma 5 2 2 4" xfId="1041" xr:uid="{9850DDD0-5E93-4733-8143-91C35B8F4258}"/>
    <cellStyle name="Comma 5 2 2 5" xfId="1042" xr:uid="{E1E44196-5FD2-42EE-974A-539CB0D885F2}"/>
    <cellStyle name="Comma 5 2 2 6" xfId="1043" xr:uid="{E78450C4-B46F-4D83-BFA4-A9E724F984F4}"/>
    <cellStyle name="Comma 5 2 2 7" xfId="1044" xr:uid="{EE417222-173B-4F2D-8D0A-804B443C2AB7}"/>
    <cellStyle name="Comma 5 2 3" xfId="1045" xr:uid="{574F2620-E815-40E1-A4F8-7095D2369A3F}"/>
    <cellStyle name="Comma 5 2 3 2" xfId="1046" xr:uid="{55AAE15B-760A-4129-A1B1-7D46B5607805}"/>
    <cellStyle name="Comma 5 2 3 2 2" xfId="1047" xr:uid="{1B8F02FE-8FDB-422E-BB56-6C87423B1EC9}"/>
    <cellStyle name="Comma 5 2 3 2 2 2" xfId="1048" xr:uid="{DC4ECCB7-7A0F-408C-951D-F10D0C59BD00}"/>
    <cellStyle name="Comma 5 2 3 2 2 3" xfId="1049" xr:uid="{0E05BD03-559F-49C8-A350-29EEED38D12B}"/>
    <cellStyle name="Comma 5 2 3 2 3" xfId="1050" xr:uid="{DDED90EB-1DCE-4A02-822E-9304005B5DDC}"/>
    <cellStyle name="Comma 5 2 3 2 4" xfId="1051" xr:uid="{1D4F4137-97C1-4301-9F76-9DC308584571}"/>
    <cellStyle name="Comma 5 2 3 3" xfId="1052" xr:uid="{970F34C1-F9EE-4748-B388-BDB723FE5AA4}"/>
    <cellStyle name="Comma 5 2 3 3 2" xfId="1053" xr:uid="{18C2E5FF-2176-4C08-B9D6-7F6987586054}"/>
    <cellStyle name="Comma 5 2 3 3 3" xfId="1054" xr:uid="{72921733-8173-4D7C-BF77-90387CF59A59}"/>
    <cellStyle name="Comma 5 2 3 4" xfId="1055" xr:uid="{4C3D7B8E-FC19-444A-AD1F-B27B11058D6F}"/>
    <cellStyle name="Comma 5 2 3 5" xfId="1056" xr:uid="{C1D69097-BBA0-401C-ABC0-4DDAA628F6FE}"/>
    <cellStyle name="Comma 5 2 3 6" xfId="1057" xr:uid="{B34006C3-284D-4A4F-8598-25A054849ADD}"/>
    <cellStyle name="Comma 5 2 4" xfId="1058" xr:uid="{37F05BEE-B9B6-464E-9365-D763E9644513}"/>
    <cellStyle name="Comma 5 2 4 2" xfId="1059" xr:uid="{83A25E91-452D-49D4-A8B2-FC168EF3CCE8}"/>
    <cellStyle name="Comma 5 2 4 2 2" xfId="1060" xr:uid="{A8E15F0A-5CD2-4296-AB76-154816897C62}"/>
    <cellStyle name="Comma 5 2 4 2 3" xfId="1061" xr:uid="{F4ACE8F0-1132-42B4-A488-4914923B4302}"/>
    <cellStyle name="Comma 5 2 4 3" xfId="1062" xr:uid="{308DE3DA-010F-406A-83EC-D88ADD0E5567}"/>
    <cellStyle name="Comma 5 2 4 4" xfId="1063" xr:uid="{14C72B3D-28E6-4C90-8E5C-04A1C59CC1D1}"/>
    <cellStyle name="Comma 5 2 5" xfId="1064" xr:uid="{33A7EEAB-4F6C-4990-BE28-35BA933070F5}"/>
    <cellStyle name="Comma 5 2 5 2" xfId="1065" xr:uid="{2F7874D1-F2B4-4A77-B5C6-8591ECC18B21}"/>
    <cellStyle name="Comma 5 2 5 3" xfId="1066" xr:uid="{24B70102-26E2-4A01-920D-F096D54120DF}"/>
    <cellStyle name="Comma 5 2 6" xfId="1067" xr:uid="{B9EFC75F-42D2-427C-A268-6D4D59CAE01E}"/>
    <cellStyle name="Comma 5 2 7" xfId="1068" xr:uid="{875D2180-0CCA-4846-9C52-55AAAAE3B1B8}"/>
    <cellStyle name="Comma 5 2 8" xfId="1069" xr:uid="{DD043B30-5AF2-4D48-A2A8-5A22F694E429}"/>
    <cellStyle name="Comma 5 3" xfId="1070" xr:uid="{06815605-B880-44AC-9EA2-4F7BDBAA07DE}"/>
    <cellStyle name="Comma 5 3 2" xfId="1071" xr:uid="{F118901F-74D7-4843-861F-4E44B9EF08D6}"/>
    <cellStyle name="Comma 5 3 2 2" xfId="1072" xr:uid="{A8EC0544-07D1-44EB-AD23-9F5C374F9D45}"/>
    <cellStyle name="Comma 5 3 2 2 2" xfId="1073" xr:uid="{E7F8A504-E981-43D6-A148-A3A909846BFA}"/>
    <cellStyle name="Comma 5 3 2 2 2 2" xfId="1074" xr:uid="{590D02DF-3DDE-436B-93FE-D544AF82000C}"/>
    <cellStyle name="Comma 5 3 2 2 2 3" xfId="1075" xr:uid="{0B36E89C-6CC9-4387-B95C-1E6FD43C6D6E}"/>
    <cellStyle name="Comma 5 3 2 2 3" xfId="1076" xr:uid="{65C7DE5B-8A59-4EDA-B6B4-952E4A105D4A}"/>
    <cellStyle name="Comma 5 3 2 2 4" xfId="1077" xr:uid="{29B66B05-8DAC-4DF4-A515-F2BC8A0DC7F2}"/>
    <cellStyle name="Comma 5 3 2 3" xfId="1078" xr:uid="{37482213-6D8C-4ED4-B37A-94A612A66524}"/>
    <cellStyle name="Comma 5 3 2 3 2" xfId="1079" xr:uid="{CAA755BE-9EE7-43F1-970C-DE0E004D4EAD}"/>
    <cellStyle name="Comma 5 3 2 3 3" xfId="1080" xr:uid="{9AC8E018-59EF-48C5-A081-52FD8B3263E5}"/>
    <cellStyle name="Comma 5 3 2 4" xfId="1081" xr:uid="{979C8213-AD74-4ADD-A34C-278CA7FAFEBA}"/>
    <cellStyle name="Comma 5 3 2 5" xfId="1082" xr:uid="{65CC85D3-4E79-4729-B586-21F4022E1809}"/>
    <cellStyle name="Comma 5 3 3" xfId="1083" xr:uid="{6D92B091-F201-43D0-B29D-5625465BE2A5}"/>
    <cellStyle name="Comma 5 3 3 2" xfId="1084" xr:uid="{5156136C-4495-4D76-8502-FE7B3B246D12}"/>
    <cellStyle name="Comma 5 3 3 2 2" xfId="1085" xr:uid="{06A1E64B-29C7-4373-89F7-E2CDED87AB63}"/>
    <cellStyle name="Comma 5 3 3 2 3" xfId="1086" xr:uid="{DC674034-974D-46FE-925A-0AFDA8AF7E05}"/>
    <cellStyle name="Comma 5 3 3 3" xfId="1087" xr:uid="{949E5B00-6EA4-4DF6-9896-FB3312E0A399}"/>
    <cellStyle name="Comma 5 3 3 4" xfId="1088" xr:uid="{58CE3F1F-4D69-468C-B7F1-BA102AAFCB3B}"/>
    <cellStyle name="Comma 5 3 4" xfId="1089" xr:uid="{731E723B-98C2-4AD2-9194-8AEE85D31AA6}"/>
    <cellStyle name="Comma 5 3 4 2" xfId="1090" xr:uid="{F835BCE1-79D3-40F7-B51C-DEE6949D3914}"/>
    <cellStyle name="Comma 5 3 4 3" xfId="1091" xr:uid="{D57919E5-F2F0-47F7-9DB2-4903D931B7C7}"/>
    <cellStyle name="Comma 5 3 5" xfId="1092" xr:uid="{9F4460AA-9659-40D8-A65C-6D0AEBB18D72}"/>
    <cellStyle name="Comma 5 3 6" xfId="1093" xr:uid="{81A334E2-ABD1-4EE4-A9F3-B85CB9968A80}"/>
    <cellStyle name="Comma 6" xfId="1094" xr:uid="{7BDAC7FC-7672-445C-80F9-24ADB4F7DC9E}"/>
    <cellStyle name="Comma 6 2" xfId="1095" xr:uid="{E0F636E2-FDEF-44F0-8D39-263B201B3493}"/>
    <cellStyle name="Comma 6 2 2" xfId="1096" xr:uid="{AD3818CF-FD0A-47CB-882E-D3C42CD24321}"/>
    <cellStyle name="Comma 6 2 2 2" xfId="1097" xr:uid="{EDB71649-BBCA-4A00-AC00-3D07EDE9212D}"/>
    <cellStyle name="Comma 6 2 2 2 2" xfId="1098" xr:uid="{7E55FDCE-F02F-4332-B571-49222F2ECD63}"/>
    <cellStyle name="Comma 6 2 2 2 2 2" xfId="1099" xr:uid="{5EB1F42B-8999-4D45-B970-77D835D3195A}"/>
    <cellStyle name="Comma 6 2 2 2 2 3" xfId="1100" xr:uid="{6D878168-FCA1-42C2-A488-BF8DC7947583}"/>
    <cellStyle name="Comma 6 2 2 2 3" xfId="1101" xr:uid="{3DC13593-AAAF-4300-AAFF-C13E470F6131}"/>
    <cellStyle name="Comma 6 2 2 2 4" xfId="1102" xr:uid="{377F7BA2-146D-4F17-8E46-EB1C8A78B714}"/>
    <cellStyle name="Comma 6 2 2 3" xfId="1103" xr:uid="{0E65E7FF-4333-4F30-9093-227FAF096FD2}"/>
    <cellStyle name="Comma 6 2 2 3 2" xfId="1104" xr:uid="{823F36AF-9E9C-4079-8483-BDBFC47AB5FA}"/>
    <cellStyle name="Comma 6 2 2 3 3" xfId="1105" xr:uid="{4F1BCDD1-3A18-4C5C-ADEB-D58349093912}"/>
    <cellStyle name="Comma 6 2 2 4" xfId="1106" xr:uid="{EC59C4EB-CDAA-4615-8AD4-BEBCAFBDF61A}"/>
    <cellStyle name="Comma 6 2 2 5" xfId="1107" xr:uid="{394B2EC4-40AA-4461-B862-8D67A044FBC1}"/>
    <cellStyle name="Comma 6 2 2 6" xfId="1108" xr:uid="{738FF56B-8D15-41AD-89E0-58D86FA9CDCC}"/>
    <cellStyle name="Comma 6 2 3" xfId="1109" xr:uid="{ECB3C835-B85B-4E1D-B7AD-8B47E2AE8BCF}"/>
    <cellStyle name="Comma 6 2 3 2" xfId="1110" xr:uid="{85229EDA-8BDA-4FC0-837B-B9467C984F0B}"/>
    <cellStyle name="Comma 6 2 3 2 2" xfId="1111" xr:uid="{05CF3FC1-6392-4660-B784-8EFCD2E5FE73}"/>
    <cellStyle name="Comma 6 2 3 2 2 2" xfId="1112" xr:uid="{229DEBD1-09FA-46DB-BAF3-1C240862E534}"/>
    <cellStyle name="Comma 6 2 3 2 2 3" xfId="1113" xr:uid="{6CA1CA21-7A7C-40E7-8F2B-DD324F28CB47}"/>
    <cellStyle name="Comma 6 2 3 2 3" xfId="1114" xr:uid="{28249D7D-6D23-4F19-AAE4-3B4896737A5B}"/>
    <cellStyle name="Comma 6 2 3 2 4" xfId="1115" xr:uid="{09F85E38-E62F-40EB-9703-177659F4EC0E}"/>
    <cellStyle name="Comma 6 2 3 3" xfId="1116" xr:uid="{0B7003AD-D89F-4D6C-B783-C9B2B4AFAB4A}"/>
    <cellStyle name="Comma 6 2 3 3 2" xfId="1117" xr:uid="{C0F1B9C3-E747-4583-A8D1-ED5472973CD7}"/>
    <cellStyle name="Comma 6 2 3 3 3" xfId="1118" xr:uid="{B083311B-9007-4316-9EC6-2679BA1C25EF}"/>
    <cellStyle name="Comma 6 2 3 4" xfId="1119" xr:uid="{999F4814-D7F7-4ED7-B588-351B4473E98D}"/>
    <cellStyle name="Comma 6 2 3 5" xfId="1120" xr:uid="{A9B19A32-CF96-4BBD-99FD-016DEA3D02BC}"/>
    <cellStyle name="Comma 6 2 4" xfId="1121" xr:uid="{F82F551C-68B5-47CC-83B5-49EF22589290}"/>
    <cellStyle name="Comma 6 2 4 2" xfId="1122" xr:uid="{ABBA5FCE-0FF3-4FE7-B4C1-FC30551622B6}"/>
    <cellStyle name="Comma 6 2 4 2 2" xfId="1123" xr:uid="{3DC5B8BE-637E-46F4-9D17-7D5C0928BC81}"/>
    <cellStyle name="Comma 6 2 4 2 2 2" xfId="1124" xr:uid="{9266CE5B-DD92-4D6F-B3A5-2B0AEA95E518}"/>
    <cellStyle name="Comma 6 2 4 2 2 3" xfId="1125" xr:uid="{1DCEDE04-A43A-48A2-86A5-491203F21F76}"/>
    <cellStyle name="Comma 6 2 4 2 3" xfId="1126" xr:uid="{0EF2F06D-ABA2-45EB-B1D3-AD70EC03D054}"/>
    <cellStyle name="Comma 6 2 4 2 4" xfId="1127" xr:uid="{A8CC8A1A-B9C0-4CB4-AE0B-62011272FAEF}"/>
    <cellStyle name="Comma 6 2 4 3" xfId="1128" xr:uid="{A8F52089-2829-4BDA-8634-CCFAE5A2EE54}"/>
    <cellStyle name="Comma 6 2 4 3 2" xfId="1129" xr:uid="{66A48DD8-6766-41F1-8088-01BD971814B5}"/>
    <cellStyle name="Comma 6 2 4 3 3" xfId="1130" xr:uid="{4A15AB6E-3BF1-489A-8DDA-22A36AC22562}"/>
    <cellStyle name="Comma 6 2 4 4" xfId="1131" xr:uid="{F0C32C55-C7AE-4776-B020-E7EDC4678366}"/>
    <cellStyle name="Comma 6 2 4 5" xfId="1132" xr:uid="{CE6CDD8F-F4C3-4698-A2EF-AB365942A1E5}"/>
    <cellStyle name="Comma 6 2 5" xfId="1133" xr:uid="{B547290A-181A-439A-89FE-2976C61F8259}"/>
    <cellStyle name="Comma 6 2 5 2" xfId="1134" xr:uid="{68D47F50-D08D-43CD-A4BC-B03075553C14}"/>
    <cellStyle name="Comma 6 2 5 2 2" xfId="1135" xr:uid="{FA023ECE-56A8-4584-9CED-A8D5CEDA1E8E}"/>
    <cellStyle name="Comma 6 2 5 2 3" xfId="1136" xr:uid="{4D7453CC-6965-44D5-98EE-959F9A874137}"/>
    <cellStyle name="Comma 6 2 5 3" xfId="1137" xr:uid="{AC9CA1C2-6A14-463A-9148-225D15763AA4}"/>
    <cellStyle name="Comma 6 2 5 4" xfId="1138" xr:uid="{B833F436-1545-4A5A-9169-AF7619CA2187}"/>
    <cellStyle name="Comma 6 2 6" xfId="1139" xr:uid="{2527D23D-4469-42DC-A0E0-516F19AD5958}"/>
    <cellStyle name="Comma 6 2 6 2" xfId="1140" xr:uid="{1134E2F6-6C98-4C97-8711-41F6B1E357C3}"/>
    <cellStyle name="Comma 6 2 6 3" xfId="1141" xr:uid="{4A06BD4B-FBB2-47B2-B8B6-7690C27C3D19}"/>
    <cellStyle name="Comma 6 2 7" xfId="1142" xr:uid="{1F5605B6-BBF4-4769-B69D-40E65BAD3BD7}"/>
    <cellStyle name="Comma 6 2 8" xfId="1143" xr:uid="{B87844B2-935A-404D-9970-A20682A3D204}"/>
    <cellStyle name="Comma 6 3" xfId="1144" xr:uid="{8B2FB1F8-BBFF-4839-A344-39DD372FB839}"/>
    <cellStyle name="Comma 6 3 2" xfId="1145" xr:uid="{C2FDE5C5-7B88-4E3A-9EAE-3F98B2F407AE}"/>
    <cellStyle name="Comma 6 3 2 2" xfId="1146" xr:uid="{59470A06-23EB-4058-97AD-2D438766628C}"/>
    <cellStyle name="Comma 6 3 2 2 2" xfId="1147" xr:uid="{87FFE5A8-06B4-4347-8A28-5C828F61A453}"/>
    <cellStyle name="Comma 6 3 2 2 2 2" xfId="1148" xr:uid="{450B1A24-FEF1-47B6-BA71-EC1CFA470131}"/>
    <cellStyle name="Comma 6 3 2 2 2 3" xfId="1149" xr:uid="{5E7F2BAC-B9F4-4EA0-B304-86D1A824E2EB}"/>
    <cellStyle name="Comma 6 3 2 2 3" xfId="1150" xr:uid="{A15876E5-AEDF-4805-8FA6-67C4B6EABEAD}"/>
    <cellStyle name="Comma 6 3 2 2 4" xfId="1151" xr:uid="{DB61F1E6-733D-4558-B744-94517B1F1090}"/>
    <cellStyle name="Comma 6 3 2 3" xfId="1152" xr:uid="{8D9225B8-D494-4EFF-BD2E-ED01ACEEE249}"/>
    <cellStyle name="Comma 6 3 2 3 2" xfId="1153" xr:uid="{FA320B03-134F-4601-B651-8E47ECE66FA1}"/>
    <cellStyle name="Comma 6 3 2 3 3" xfId="1154" xr:uid="{E112D054-2C6A-4995-AEFC-0AD3B3A92659}"/>
    <cellStyle name="Comma 6 3 2 4" xfId="1155" xr:uid="{3A1CD7FC-BF8D-426C-B900-DBA9F1B6C3E8}"/>
    <cellStyle name="Comma 6 3 2 5" xfId="1156" xr:uid="{3A5BD739-27D4-45D6-9593-C340BFD67A6C}"/>
    <cellStyle name="Comma 6 3 3" xfId="1157" xr:uid="{0286A2B3-CD68-46CA-B71F-2E39E9FDE5A4}"/>
    <cellStyle name="Comma 6 3 3 2" xfId="1158" xr:uid="{D71C1331-81B1-41ED-B9B2-C6C9B26A16C8}"/>
    <cellStyle name="Comma 6 3 3 2 2" xfId="1159" xr:uid="{112FEBEE-3333-46D1-9FD4-8BFBC444D794}"/>
    <cellStyle name="Comma 6 3 3 2 3" xfId="1160" xr:uid="{FEBF4C13-2CA7-481B-9D8A-432DB0ADA615}"/>
    <cellStyle name="Comma 6 3 3 3" xfId="1161" xr:uid="{F4047F04-13DA-45F0-B3F4-6618C59E131E}"/>
    <cellStyle name="Comma 6 3 3 4" xfId="1162" xr:uid="{9BB4CFCC-E62D-4DC8-AEBD-180057D37204}"/>
    <cellStyle name="Comma 6 3 4" xfId="1163" xr:uid="{DB0E7334-732F-4BF4-AB04-A4BADA10AB27}"/>
    <cellStyle name="Comma 6 3 4 2" xfId="1164" xr:uid="{DF3E9081-99F9-44DC-AF55-D3FFB1947CC2}"/>
    <cellStyle name="Comma 6 3 4 3" xfId="1165" xr:uid="{ACB20066-A145-4E8D-AEDD-4F31D55AB7C5}"/>
    <cellStyle name="Comma 6 3 5" xfId="1166" xr:uid="{AF919E3B-C419-4F88-9ABA-448FC93903A9}"/>
    <cellStyle name="Comma 6 3 6" xfId="1167" xr:uid="{99F2E72C-BC83-45A2-9590-CD9C453AF8DE}"/>
    <cellStyle name="Comma 6 3 7" xfId="1168" xr:uid="{784E1A05-BDEC-4367-888C-79FE8D00DC96}"/>
    <cellStyle name="Comma 6 4" xfId="1169" xr:uid="{31678B5E-D4C8-4236-A064-DCFF06134ACB}"/>
    <cellStyle name="Comma 6 4 2" xfId="1170" xr:uid="{3EA485E7-B0C3-46AD-B564-721F52F6D5DD}"/>
    <cellStyle name="Comma 6 4 2 2" xfId="1171" xr:uid="{11D03FB9-6C87-4372-9E72-D506EB891112}"/>
    <cellStyle name="Comma 6 4 2 2 2" xfId="1172" xr:uid="{F8346E87-66B8-4023-921B-13E03C9B41A4}"/>
    <cellStyle name="Comma 6 4 2 2 3" xfId="1173" xr:uid="{3735593F-D52C-42C0-AF7B-A8709274E69D}"/>
    <cellStyle name="Comma 6 4 2 3" xfId="1174" xr:uid="{6F970AF8-7999-42FA-B013-AF121B67FABE}"/>
    <cellStyle name="Comma 6 4 2 4" xfId="1175" xr:uid="{186D053C-F9FB-4797-9DF7-0CD417A61298}"/>
    <cellStyle name="Comma 6 4 3" xfId="1176" xr:uid="{D758CA6B-1AFE-4C4D-83AD-EC86C2BAF4F3}"/>
    <cellStyle name="Comma 6 4 3 2" xfId="1177" xr:uid="{853AD4C6-4D16-4819-A2EF-F7AD7D9A4A3C}"/>
    <cellStyle name="Comma 6 4 3 3" xfId="1178" xr:uid="{06E245EC-5E4E-4ECB-9154-7E8C4AF6738B}"/>
    <cellStyle name="Comma 6 4 4" xfId="1179" xr:uid="{491CA197-E47A-436D-AA1B-657A1331BCBA}"/>
    <cellStyle name="Comma 6 4 5" xfId="1180" xr:uid="{16D8C748-B083-41A9-AA0A-5DD2B40DC025}"/>
    <cellStyle name="Comma 6 5" xfId="1181" xr:uid="{3DF243D4-81FC-41A0-961D-D5435D03D1D2}"/>
    <cellStyle name="Comma 6 5 2" xfId="1182" xr:uid="{2C06A34E-9DEC-43AF-83B6-1A3AC3719416}"/>
    <cellStyle name="Comma 6 5 2 2" xfId="1183" xr:uid="{E7A39B3E-7E0A-47A8-B8FA-9292214171BC}"/>
    <cellStyle name="Comma 6 5 2 3" xfId="1184" xr:uid="{9B06ADB0-9B21-424F-A436-0F9E7CEC0B9F}"/>
    <cellStyle name="Comma 6 5 3" xfId="1185" xr:uid="{4CA4EFBD-E780-4F8E-A17C-CFD63D3E3170}"/>
    <cellStyle name="Comma 6 5 4" xfId="1186" xr:uid="{99950053-0903-498D-B7F7-7717A66C1411}"/>
    <cellStyle name="Comma 6 6" xfId="1187" xr:uid="{58CAFD20-0E82-48F6-81B2-28DFC7225FE1}"/>
    <cellStyle name="Comma 6 6 2" xfId="1188" xr:uid="{C55E75BA-1464-4F39-8923-A9BB3EC64A66}"/>
    <cellStyle name="Comma 6 6 3" xfId="1189" xr:uid="{31305843-1814-450C-A35B-916ADB61855F}"/>
    <cellStyle name="Comma 6 7" xfId="1190" xr:uid="{1268E27C-B047-47C4-81C4-5FCF0D7CE0A4}"/>
    <cellStyle name="Comma 6 8" xfId="1191" xr:uid="{7422714F-5300-4696-AD32-0D3A8F897753}"/>
    <cellStyle name="Comma 6 9" xfId="1192" xr:uid="{B15BAAF5-FEA9-4A77-96E8-91230D312EF7}"/>
    <cellStyle name="Comma 7" xfId="1193" xr:uid="{9FF4206B-C919-4EDF-978A-EFEFEA9369CF}"/>
    <cellStyle name="Comma 7 2" xfId="1194" xr:uid="{1A55C779-A5E3-48BD-8F15-6FAA56475106}"/>
    <cellStyle name="Comma 7 2 2" xfId="1195" xr:uid="{BFD9E8FA-AA90-4984-A529-6ECF235762DB}"/>
    <cellStyle name="Comma 7 2 3" xfId="1196" xr:uid="{D2A5D4A8-8E97-4BAD-B530-2923DBFA60D6}"/>
    <cellStyle name="Comma 7 2 3 2" xfId="1197" xr:uid="{9B0F3142-530A-451F-AB08-C7046BF0C1CC}"/>
    <cellStyle name="Comma 7 2 3 2 2" xfId="1198" xr:uid="{E25BC01D-9631-445F-BF29-F491B3853C0C}"/>
    <cellStyle name="Comma 7 2 3 2 3" xfId="1199" xr:uid="{052D2715-B043-433B-A9D7-920858C7F22D}"/>
    <cellStyle name="Comma 7 2 3 3" xfId="1200" xr:uid="{2ADA36D7-67BE-48FD-96CD-3EE26C8F8759}"/>
    <cellStyle name="Comma 7 2 3 4" xfId="1201" xr:uid="{23CA390B-3924-4D80-8E4F-E44A082B958A}"/>
    <cellStyle name="Comma 7 2 4" xfId="1202" xr:uid="{7D03670E-8220-4B37-AF32-379BA047C753}"/>
    <cellStyle name="Comma 7 2 4 2" xfId="1203" xr:uid="{AA8E6957-A6A8-41EA-BD46-C3E330C2C60B}"/>
    <cellStyle name="Comma 7 2 4 3" xfId="1204" xr:uid="{D2E6D26E-484C-4EE2-A02A-3C93D95354DA}"/>
    <cellStyle name="Comma 7 2 5" xfId="1205" xr:uid="{C5C25E12-4C4C-411D-89D4-4559865F7E8A}"/>
    <cellStyle name="Comma 7 2 6" xfId="1206" xr:uid="{078108D6-9CD3-4A6E-A3A2-FCB2AE86C070}"/>
    <cellStyle name="Comma 7 3" xfId="1207" xr:uid="{7F342B32-31D5-4C87-8F43-631E2D1F5D4D}"/>
    <cellStyle name="Comma 7 4" xfId="1208" xr:uid="{11EB9147-7327-476B-BBCA-3DF47B10B93C}"/>
    <cellStyle name="Comma 7 4 2" xfId="1209" xr:uid="{EF818998-8040-462D-9E69-3ED5C5D1F835}"/>
    <cellStyle name="Comma 7 4 2 2" xfId="1210" xr:uid="{6BAE7A14-B57D-48B8-BAF5-A4F1EACDD5DF}"/>
    <cellStyle name="Comma 7 4 2 2 2" xfId="1211" xr:uid="{A79B5A91-E254-4C05-BDC9-DA29A8956988}"/>
    <cellStyle name="Comma 7 4 2 2 3" xfId="1212" xr:uid="{6BF61644-96AD-4DD9-96EE-3D41BF03915B}"/>
    <cellStyle name="Comma 7 4 2 3" xfId="1213" xr:uid="{5EC6C993-6A30-44FE-8D23-B06CB257CC43}"/>
    <cellStyle name="Comma 7 4 2 4" xfId="1214" xr:uid="{B157C66D-E00A-4EEB-BB4B-4EBB8A40EE24}"/>
    <cellStyle name="Comma 7 4 3" xfId="1215" xr:uid="{B7F5D0EA-1BCC-4CF7-9EC9-BA2BFE754283}"/>
    <cellStyle name="Comma 7 4 3 2" xfId="1216" xr:uid="{213CF80D-8BCB-4444-89C6-91A79582415E}"/>
    <cellStyle name="Comma 7 4 3 3" xfId="1217" xr:uid="{0F22BAAF-346F-48BF-9534-ED41E157C00E}"/>
    <cellStyle name="Comma 7 4 4" xfId="1218" xr:uid="{526EEB0C-8A0B-4D3B-B8DC-1EAFBD2BF999}"/>
    <cellStyle name="Comma 7 4 5" xfId="1219" xr:uid="{155C6522-9721-422B-B72E-B64E1BA2B7AE}"/>
    <cellStyle name="Comma 7 5" xfId="1220" xr:uid="{DC5CEBE5-DB7F-49E6-A421-A5DA86F7D09A}"/>
    <cellStyle name="Comma 7 6" xfId="1221" xr:uid="{DF1BA525-806D-4643-9454-A6B2F46DD2FD}"/>
    <cellStyle name="Comma 8" xfId="1222" xr:uid="{C8F28C51-69BC-4F78-BAF5-44E02FFE4FC3}"/>
    <cellStyle name="Comma 8 2" xfId="1223" xr:uid="{4A1515E8-422D-4279-9C91-62ED4944EE48}"/>
    <cellStyle name="Comma 8 2 2" xfId="1224" xr:uid="{FEC02FF5-34F1-4653-9383-E579B96C6BD6}"/>
    <cellStyle name="Comma 8 2 2 2" xfId="1225" xr:uid="{48E50FC3-8664-4FAE-AFDF-90C82E285613}"/>
    <cellStyle name="Comma 8 2 2 2 2" xfId="1226" xr:uid="{DF4B8714-354E-4CFC-9A1E-BDDF235E2EAB}"/>
    <cellStyle name="Comma 8 2 2 2 3" xfId="1227" xr:uid="{B32876AD-1803-4B72-BBE5-2DF8A620F6DC}"/>
    <cellStyle name="Comma 8 2 2 3" xfId="1228" xr:uid="{F8C23626-14BA-40FF-9019-5022EC504CAA}"/>
    <cellStyle name="Comma 8 2 2 4" xfId="1229" xr:uid="{9046D73D-CD84-45FE-A75E-4EC9E8694014}"/>
    <cellStyle name="Comma 8 2 3" xfId="1230" xr:uid="{090D7B54-E665-4285-BB1A-5ADF97C590FB}"/>
    <cellStyle name="Comma 8 2 3 2" xfId="1231" xr:uid="{645826AD-7E35-41E4-A2A2-18459664A562}"/>
    <cellStyle name="Comma 8 2 3 3" xfId="1232" xr:uid="{4D96DB98-A321-4A49-A668-FD71C0FB5AF7}"/>
    <cellStyle name="Comma 8 2 4" xfId="1233" xr:uid="{2CD74A95-6944-46A5-BD4B-043B41BD924D}"/>
    <cellStyle name="Comma 8 2 5" xfId="1234" xr:uid="{F8BA128F-DB7B-45DB-8927-D337E97E5B63}"/>
    <cellStyle name="Comma 8 3" xfId="1235" xr:uid="{632BFDEE-48D5-4552-AC74-C6D8BE264705}"/>
    <cellStyle name="Comma 8 4" xfId="1236" xr:uid="{BDCC8893-65B4-479E-B3AE-7012AD14E848}"/>
    <cellStyle name="Comma 9" xfId="1237" xr:uid="{59317F86-82B5-4059-8D25-7C50C553E6CB}"/>
    <cellStyle name="Comma 9 2" xfId="1238" xr:uid="{346217A4-9137-4067-89FB-F094EADCAA25}"/>
    <cellStyle name="Comma 9 2 2" xfId="1239" xr:uid="{764E024C-8044-4B79-99AF-28AC8F648736}"/>
    <cellStyle name="Comma 9 2 2 2" xfId="1240" xr:uid="{1774D49A-EC19-4F3F-BEFD-1F37CCEF120A}"/>
    <cellStyle name="Comma 9 2 2 2 2" xfId="1241" xr:uid="{355F4A21-F6E6-405F-B92B-34360037B256}"/>
    <cellStyle name="Comma 9 2 2 2 3" xfId="1242" xr:uid="{1347E430-B8B3-46E2-85EA-B9A192989DE6}"/>
    <cellStyle name="Comma 9 2 2 3" xfId="1243" xr:uid="{011F22C5-2337-4AF8-9A28-04BC9EC83C66}"/>
    <cellStyle name="Comma 9 2 2 4" xfId="1244" xr:uid="{7C1620A1-B99D-4D00-9290-EEA227CC3210}"/>
    <cellStyle name="Comma 9 2 3" xfId="1245" xr:uid="{5FBF4D6E-4C48-4A82-AD87-E8F80158F581}"/>
    <cellStyle name="Comma 9 2 3 2" xfId="1246" xr:uid="{DA298DC8-1D9A-4D41-BC76-4F2A4A5DDAE8}"/>
    <cellStyle name="Comma 9 2 3 3" xfId="1247" xr:uid="{49BAFC7F-A1DB-4FBD-9ABA-E46D5D51C8E1}"/>
    <cellStyle name="Comma 9 2 4" xfId="1248" xr:uid="{BB122CC5-7BAC-4AB0-963D-4C07370486CA}"/>
    <cellStyle name="Comma 9 2 5" xfId="1249" xr:uid="{D2B39010-9DEA-45BB-ABF2-750E6C379FB6}"/>
    <cellStyle name="Currency 2" xfId="1250" xr:uid="{D171DAB0-7573-492A-AEFD-D50A9FD8347D}"/>
    <cellStyle name="Date" xfId="1251" xr:uid="{EF0F3004-9E90-4ADA-9089-422431008FBF}"/>
    <cellStyle name="Dezimal [0]_Compiling Utility Macros" xfId="1252" xr:uid="{0F5053AC-4A01-4A06-B64C-68FC76ACE328}"/>
    <cellStyle name="Dezimal_Compiling Utility Macros" xfId="1253" xr:uid="{F349E49F-B445-4D42-B7FD-21C179ECF4CC}"/>
    <cellStyle name="Divider" xfId="1254" xr:uid="{E158AF67-1EF7-4A66-BA47-85E988C8311C}"/>
    <cellStyle name="Excel Built-in Normal" xfId="1255" xr:uid="{E829188B-1E1B-4937-8493-041D7119E3A9}"/>
    <cellStyle name="Excel Built-in Normal 1" xfId="1256" xr:uid="{838D9A82-7EEF-4689-9DFA-DEBAC68E1227}"/>
    <cellStyle name="Excel Built-in Normal 2" xfId="1257" xr:uid="{4424CB7B-8755-44E9-A85B-9966ABA9F8C3}"/>
    <cellStyle name="Excel Built-in Normal 2 2" xfId="1258" xr:uid="{843D7CFD-DBD2-459A-9AFC-68F56980142B}"/>
    <cellStyle name="Excel Built-in Normal 2 2 2" xfId="1259" xr:uid="{ABB84311-A37C-4BD1-B825-A5ECF8FD14BF}"/>
    <cellStyle name="Excel Built-in Normal 3" xfId="1260" xr:uid="{5BF3211E-F1A2-4B6E-A731-5ADE4607A420}"/>
    <cellStyle name="Excel Built-in Normal 3 2" xfId="1261" xr:uid="{F6111DF7-3CA5-4786-80FE-EC11DF9D9B62}"/>
    <cellStyle name="Excel Built-in Normal 3 3" xfId="1262" xr:uid="{28CF2580-8C60-4776-A04C-AFD25A0B0BBD}"/>
    <cellStyle name="Excel Built-in Normal 5" xfId="1263" xr:uid="{EFBC305A-28F3-4A64-9C8E-0CFB2D280DE5}"/>
    <cellStyle name="Excel Built-in Normal 6" xfId="1264" xr:uid="{834CACF7-8CCC-4E1A-B33F-4637C2955695}"/>
    <cellStyle name="Explanatory Text 2" xfId="1265" xr:uid="{30FB8FBC-78D7-4BAE-A9A3-B3A85B5A316F}"/>
    <cellStyle name="Explanatory Text 2 2" xfId="1266" xr:uid="{F9425696-8EF9-411E-A1C1-D83092EFAF47}"/>
    <cellStyle name="Fixed" xfId="1267" xr:uid="{F220DDF8-ADE1-4F54-B582-423CAEEC957F}"/>
    <cellStyle name="Good 2" xfId="1268" xr:uid="{61C83652-33EF-40CB-B67A-A34ACB650C49}"/>
    <cellStyle name="Good 2 2" xfId="1269" xr:uid="{2D668BCE-5017-4584-B7FE-6334229A3C6B}"/>
    <cellStyle name="Heading 1 2" xfId="1270" xr:uid="{9A1761A2-6A5B-4C7E-BCB5-3439DD1AADDB}"/>
    <cellStyle name="Heading 1 2 2" xfId="1271" xr:uid="{2BBC2D3E-B362-41D3-89C1-244D8DDC40E5}"/>
    <cellStyle name="Heading 1 2 3" xfId="1272" xr:uid="{ADF6218B-1509-462A-9B49-A38EDCBD4467}"/>
    <cellStyle name="Heading 2 2" xfId="1273" xr:uid="{0E0FC3E3-B1E1-4827-8BB4-AC915CA11A04}"/>
    <cellStyle name="Heading 2 2 2" xfId="1274" xr:uid="{AECDEF36-12C5-4297-9410-9082731BEBA5}"/>
    <cellStyle name="Heading 2 2 3" xfId="1275" xr:uid="{893682AF-F427-4690-865B-A2C830452699}"/>
    <cellStyle name="Heading 3 2" xfId="1276" xr:uid="{C3201BFB-C94B-483D-A274-D87AD8908FFA}"/>
    <cellStyle name="Heading 3 2 2" xfId="1277" xr:uid="{6CDC896D-3F71-40D0-8118-D066A0630FD6}"/>
    <cellStyle name="Heading 3 2 3" xfId="1278" xr:uid="{C85B3246-638D-42F6-A9F4-1D6126AF326B}"/>
    <cellStyle name="Heading 4 2" xfId="1279" xr:uid="{3FFD77E9-0CDC-4454-94BE-AB513CF0756B}"/>
    <cellStyle name="Heading 4 2 2" xfId="1280" xr:uid="{BB5550AC-69D7-4BE6-ABAE-C27A1F95C601}"/>
    <cellStyle name="Heading 4 2 3" xfId="1281" xr:uid="{A4800170-46B0-440E-B5B7-20E356B0765B}"/>
    <cellStyle name="Heading1" xfId="1282" xr:uid="{8AF0EF0D-C1CD-48CB-BD1E-E92D391F1F80}"/>
    <cellStyle name="Heading2" xfId="1283" xr:uid="{7A1514EC-BB77-4DAC-BD15-F7D43995F898}"/>
    <cellStyle name="Headline I" xfId="1284" xr:uid="{4586A5D2-F06D-412A-AAC8-D8BD16C3D9DE}"/>
    <cellStyle name="Headline II" xfId="1285" xr:uid="{1305EDE1-7FF2-4A2C-AF7E-8B2019C9D48C}"/>
    <cellStyle name="Headline III" xfId="1286" xr:uid="{9532D2B7-E3CD-4467-BD3D-52F232D3A4CD}"/>
    <cellStyle name="Hipersaite 2" xfId="1287" xr:uid="{E4575EB1-3B54-4745-BB5B-E93B55E00328}"/>
    <cellStyle name="Hyperlink 2" xfId="1288" xr:uid="{4B772746-FE72-4F05-B57D-D39CCEA21694}"/>
    <cellStyle name="Hyperlink 2 2" xfId="1289" xr:uid="{749F384F-2A88-46E4-BA84-9E3848491C8E}"/>
    <cellStyle name="Ievade 2" xfId="1290" xr:uid="{64BD6A58-3704-4BF2-B623-EDCA7C943A52}"/>
    <cellStyle name="Ievade 3" xfId="1291" xr:uid="{44B5A984-C77C-4E97-B94E-DA4DAD78EBAC}"/>
    <cellStyle name="Input 2" xfId="1292" xr:uid="{1DCA9173-E5A8-41F9-843F-6C314D4405B3}"/>
    <cellStyle name="Input 2 2" xfId="1293" xr:uid="{03848A40-9225-443C-B552-1992892AD293}"/>
    <cellStyle name="Izvade 2" xfId="1294" xr:uid="{5FF28C8B-99B8-4808-AE7E-E8953768D7BC}"/>
    <cellStyle name="Izvade 3" xfId="1295" xr:uid="{D0897A6E-5A7C-4406-8375-164773336FB8}"/>
    <cellStyle name="Īįū÷ķūé_laroux" xfId="1296" xr:uid="{4E24DC15-E499-4E8D-9B17-66A2A810F67E}"/>
    <cellStyle name="Komats" xfId="221" builtinId="3"/>
    <cellStyle name="Komats 2" xfId="1297" xr:uid="{E5E12494-C33E-4000-BD35-FB9301DA7DDC}"/>
    <cellStyle name="Komats 2 2" xfId="1298" xr:uid="{FE9DD40F-22F7-4C80-8B3A-2694D83CC1CB}"/>
    <cellStyle name="Komats 2 3" xfId="1299" xr:uid="{05B4F719-86E1-4D6B-B126-E5ADF24955EE}"/>
    <cellStyle name="Komats 3" xfId="1300" xr:uid="{4BDD3ADE-3D62-43DE-8B98-0C6F0FBD432F}"/>
    <cellStyle name="Komats 4" xfId="1301" xr:uid="{08610909-BD2A-4FCA-8BA0-92D35867E635}"/>
    <cellStyle name="Kopsumma 2" xfId="1302" xr:uid="{694D6722-AA81-4295-B0A7-E0B1F368DF8A}"/>
    <cellStyle name="Kopsumma 3" xfId="1303" xr:uid="{13435056-CE60-40FA-AD08-F7956A73F5DD}"/>
    <cellStyle name="Labs 2" xfId="1304" xr:uid="{52EF72D4-3CAD-4F40-A1D0-0A09781AB938}"/>
    <cellStyle name="Linked Cell 2" xfId="1305" xr:uid="{F6439A57-BFC0-4A75-AFEC-D70AAFB96402}"/>
    <cellStyle name="Linked Cell 2 2" xfId="1306" xr:uid="{A80B2203-FA77-4203-8388-8AC66A639984}"/>
    <cellStyle name="LKp tabula" xfId="1307" xr:uid="{62AC7E55-8D53-44A6-9DB0-A44A1CFD4A84}"/>
    <cellStyle name="Neitrāls 2" xfId="1308" xr:uid="{F1AE545E-CD86-4C40-9C5A-9C6A11F68F35}"/>
    <cellStyle name="Neitrāls 3" xfId="1309" xr:uid="{3F66136E-57BE-41A4-B22E-AA8DCA9C1904}"/>
    <cellStyle name="Neutral 2" xfId="1310" xr:uid="{BA50D04E-525C-4475-BA9F-124181AC0951}"/>
    <cellStyle name="Neutral 2 2" xfId="1311" xr:uid="{84C3D1AB-89B5-45E5-B081-EF34DDC59827}"/>
    <cellStyle name="Normaali_light-98_gun" xfId="1312" xr:uid="{690506F6-7B74-4CE0-8C6E-02DDECC94B40}"/>
    <cellStyle name="Normal 10" xfId="1313" xr:uid="{FE45D723-9DC0-4641-80C1-8A59F121F98A}"/>
    <cellStyle name="Normal 10 10" xfId="1314" xr:uid="{A7C56A37-80E5-4F5D-8346-EAD56C10A532}"/>
    <cellStyle name="Normal 10 2" xfId="1315" xr:uid="{3B5A550C-340C-4DE4-9A5F-AE53206241D9}"/>
    <cellStyle name="Normal 10 2 2" xfId="1316" xr:uid="{8E50BBAF-094C-46B7-84FE-7624EB64B598}"/>
    <cellStyle name="Normal 10 3" xfId="1317" xr:uid="{B0D23B8A-80C4-42B2-B148-2B85D6C724E7}"/>
    <cellStyle name="Normal 10 3 2" xfId="1318" xr:uid="{48A07DBF-73E4-4217-B55D-D5674379BCA1}"/>
    <cellStyle name="Normal 10 4" xfId="1319" xr:uid="{CA2549E9-7286-4664-98A5-7BB49F3A9FA6}"/>
    <cellStyle name="Normal 10 5" xfId="1320" xr:uid="{594DA894-A26C-4B30-8CF3-4205D47B10B7}"/>
    <cellStyle name="Normal 11" xfId="1321" xr:uid="{06E381C9-2866-47BF-8312-856D69480908}"/>
    <cellStyle name="Normal 11 2" xfId="1322" xr:uid="{991F5E77-5DDE-48D5-842A-83DD1E7C9659}"/>
    <cellStyle name="Normal 11 2 2" xfId="1323" xr:uid="{CCBE2D1E-2E17-4AA0-9D53-59522D7CD0D7}"/>
    <cellStyle name="Normal 12" xfId="1324" xr:uid="{F4806B33-5706-4646-9586-A33C72FBD105}"/>
    <cellStyle name="Normal 12 2" xfId="1325" xr:uid="{12AA9A46-B420-4D82-954C-A0A190DEEB18}"/>
    <cellStyle name="Normal 12 2 2" xfId="1326" xr:uid="{70A1DF6A-686B-4A50-B9EC-85BD20942DFF}"/>
    <cellStyle name="Normal 12 2 2 2 2" xfId="1327" xr:uid="{E669F30B-6A2E-452F-9AAF-39640A384EC8}"/>
    <cellStyle name="Normal 12 3" xfId="1328" xr:uid="{45482731-8D8B-4E5C-B108-7A1EB7CB5671}"/>
    <cellStyle name="Normal 12 3 3" xfId="1329" xr:uid="{48226D9F-B1A1-49DB-BF8F-B238D03B4046}"/>
    <cellStyle name="Normal 12 4" xfId="1330" xr:uid="{1BDB14ED-F2A4-481C-B4EC-A9CA5A901CAA}"/>
    <cellStyle name="Normal 13" xfId="1331" xr:uid="{A3AFDC3A-4895-4072-8EBC-47C32CFCE376}"/>
    <cellStyle name="Normal 13 2" xfId="1332" xr:uid="{90972FB8-C150-4144-9B92-B8E046451722}"/>
    <cellStyle name="Normal 13 2 2" xfId="1333" xr:uid="{671C6F16-C602-4A44-A229-8ACB0D3EA07F}"/>
    <cellStyle name="Normal 13 3" xfId="1334" xr:uid="{AC70A81B-CD70-426E-9660-4BFB9D989D36}"/>
    <cellStyle name="Normal 13 4" xfId="1335" xr:uid="{475D2D9F-383E-4072-A760-6326EC5FED4F}"/>
    <cellStyle name="Normal 13 5" xfId="1336" xr:uid="{A1952B1C-730E-4B3C-8F4E-549C0FBF90AF}"/>
    <cellStyle name="Normal 14" xfId="1337" xr:uid="{80A52F92-19CB-42CB-A780-3C8B86D61088}"/>
    <cellStyle name="Normal 14 10" xfId="1338" xr:uid="{FD81035E-04E6-4733-A6B8-C612584D02D5}"/>
    <cellStyle name="Normal 14 2" xfId="1339" xr:uid="{6668CF24-5621-409F-B988-45AD544379A8}"/>
    <cellStyle name="Normal 14 2 2" xfId="1340" xr:uid="{0F754D6F-2ADD-4722-9373-0421124F209B}"/>
    <cellStyle name="Normal 15" xfId="1341" xr:uid="{D1853974-E0B1-4274-B059-6B39C9BF39AB}"/>
    <cellStyle name="Normal 16" xfId="1610" xr:uid="{0F3E6C68-D6CB-47A7-AB95-6E6B4CF54769}"/>
    <cellStyle name="Normal 18" xfId="1342" xr:uid="{89B18BDC-CB27-4821-8266-A00EA3D17607}"/>
    <cellStyle name="Normal 19 2" xfId="1343" xr:uid="{5958F5A1-78E4-4AA7-9ADE-806D56EC56FB}"/>
    <cellStyle name="Normal 2" xfId="1344" xr:uid="{32FAAB9E-5146-48AE-8E23-044375329480}"/>
    <cellStyle name="Normal 2 10" xfId="1345" xr:uid="{734BC615-B046-4AE6-960E-5DCCB18FE3CF}"/>
    <cellStyle name="Normal 2 10 2" xfId="1346" xr:uid="{64E8E1CF-819D-4E4D-ADAF-FDB6D17D5461}"/>
    <cellStyle name="Normal 2 10 3" xfId="1347" xr:uid="{AB6E51CE-CE26-407D-A38C-9E47360945F6}"/>
    <cellStyle name="Normal 2 11" xfId="1348" xr:uid="{CF419968-909C-4021-B2E4-DFBD8F8BAFF9}"/>
    <cellStyle name="Normal 2 2" xfId="1349" xr:uid="{5357A924-6855-4F9E-A426-1B2E6288EAC9}"/>
    <cellStyle name="Normal 2 2 2" xfId="1350" xr:uid="{6E32F6A0-2511-4CC4-8812-975CFC7E8E3F}"/>
    <cellStyle name="Normal 2 2 2 2" xfId="1351" xr:uid="{AF2BB385-CFB2-4308-B52C-8F3E58DC67B9}"/>
    <cellStyle name="Normal 2 2 2 2 2" xfId="1352" xr:uid="{3CCF7AC0-DF1B-4F69-ACC3-E775F4C079B9}"/>
    <cellStyle name="Normal 2 2 3" xfId="1353" xr:uid="{1214B1C4-A04A-4753-AB89-D814EF80CFD0}"/>
    <cellStyle name="Normal 2 2_Kuldiga_Bernudarzs_01.01" xfId="1354" xr:uid="{D3945B24-2767-4FA8-AE34-7B5DC5306FFD}"/>
    <cellStyle name="Normal 2 3" xfId="1355" xr:uid="{DA0612C4-43F8-4C77-A2D3-7378219C8BE3}"/>
    <cellStyle name="Normal 2 4" xfId="1356" xr:uid="{9392EB6B-8C62-4C36-A353-DFFD14491805}"/>
    <cellStyle name="Normal 2 4 2" xfId="1357" xr:uid="{38183E2A-64D6-46DE-A6E9-4F0B9C3BD448}"/>
    <cellStyle name="Normal 2 4 3" xfId="1358" xr:uid="{C4CE28F2-AD98-43E6-A80C-0F29B6243888}"/>
    <cellStyle name="Normal 2 5" xfId="1359" xr:uid="{AD4E2C8B-3378-4DA9-BC51-8C0AC1ADADAD}"/>
    <cellStyle name="Normal 2 5 2" xfId="1360" xr:uid="{52838A30-5782-4178-A192-41EA652EF6E1}"/>
    <cellStyle name="Normal 2 6" xfId="1361" xr:uid="{A4D8CD18-47ED-4166-BE77-DFAA6C09996F}"/>
    <cellStyle name="Normal 2 6 2" xfId="1362" xr:uid="{0233C0B0-FB82-4166-837F-9209D677F22A}"/>
    <cellStyle name="Normal 2 6 2 2" xfId="1363" xr:uid="{B0AF3AB2-0A3F-4EF3-846C-DF3B64B3CA2E}"/>
    <cellStyle name="Normal 2 6 3" xfId="1364" xr:uid="{2AC1E97A-1C7F-4815-8E5A-4C4B2C5A8EA9}"/>
    <cellStyle name="Normal 2 7" xfId="1365" xr:uid="{5FBC9BA8-E335-4C90-BCB3-98E58938F9A4}"/>
    <cellStyle name="Normal 2 7 2" xfId="1366" xr:uid="{7113685D-7AB2-490C-ADA7-07A3B2BFA71D}"/>
    <cellStyle name="Normal 2 7 3" xfId="1367" xr:uid="{83B6FC61-472F-474E-85E1-D410719D3BA2}"/>
    <cellStyle name="Normal 2 7 4" xfId="1368" xr:uid="{62067F03-812B-4DB8-8833-112692A7FB42}"/>
    <cellStyle name="Normal 2 8" xfId="1369" xr:uid="{B58EF97B-45C0-4BDE-BFB7-A1F37C7ECC19}"/>
    <cellStyle name="Normal 2 8 2" xfId="1370" xr:uid="{D1EA94DB-F70D-4EF8-BD3D-7EE99CAF65DD}"/>
    <cellStyle name="Normal 2 8 3" xfId="1371" xr:uid="{EBBE70F3-1DB0-40DD-9314-23FF02E3DA1E}"/>
    <cellStyle name="Normal 2 8 4" xfId="1372" xr:uid="{FE6864C5-0C82-4DD6-81E0-B7CEB827D01C}"/>
    <cellStyle name="Normal 2 9" xfId="1373" xr:uid="{3D291899-B385-4884-8AFA-DC9CB00CEF54}"/>
    <cellStyle name="Normal 2 9 2" xfId="1374" xr:uid="{46FC325E-B59A-463E-B1A0-0B8251CC5223}"/>
    <cellStyle name="Normal 2 9 3" xfId="1375" xr:uid="{4BE2478C-9CBC-4383-B3B5-D6A818E29B83}"/>
    <cellStyle name="Normal 2 9 4" xfId="1376" xr:uid="{A171EFA3-A615-484B-BCD5-141BB8B3E623}"/>
    <cellStyle name="Normal 2_Granulu razosanas komplekss" xfId="1377" xr:uid="{6924BEB4-2497-4C60-B44C-E90604C2B7EA}"/>
    <cellStyle name="Normal 3" xfId="1378" xr:uid="{27230A71-670D-4711-967E-DDA525C94834}"/>
    <cellStyle name="Normal 3 2" xfId="1379" xr:uid="{1F332D86-4A8D-46AB-96D0-4576975AC5E8}"/>
    <cellStyle name="Normal 3 2 2" xfId="1380" xr:uid="{A844E206-0B16-4819-B88E-C8A87A49364F}"/>
    <cellStyle name="Normal 3 2 3" xfId="1381" xr:uid="{55649BB2-BD1E-443F-88F3-7EDFC39942E5}"/>
    <cellStyle name="Normal 3 2 4" xfId="1382" xr:uid="{97A82C25-3702-4F23-A509-302141C184F8}"/>
    <cellStyle name="Normal 3 3" xfId="1383" xr:uid="{77446FF7-CE0A-4340-857B-648FBD0B0A2B}"/>
    <cellStyle name="Normal 3 3 2" xfId="1384" xr:uid="{DC40CF70-2C45-4E8F-9646-47D627D58B51}"/>
    <cellStyle name="Normal 3 7 2" xfId="1385" xr:uid="{823D9B5F-765F-43C2-9698-F523BE5C1052}"/>
    <cellStyle name="Normal 3 9" xfId="1386" xr:uid="{F8ABA462-4966-4757-B0AB-672845F01D5D}"/>
    <cellStyle name="Normal 3_REMCE-Lermontova iela, 07.02.2012" xfId="1387" xr:uid="{1591BF21-9956-4D1C-BADE-6A153AB36A92}"/>
    <cellStyle name="Normal 34" xfId="1388" xr:uid="{0F843F62-2787-488A-B01B-6AD7E1485D26}"/>
    <cellStyle name="Normal 34 2" xfId="1389" xr:uid="{98C50B4B-4C36-4A92-AD98-407375A87F60}"/>
    <cellStyle name="Normal 35" xfId="1390" xr:uid="{DC28DFB2-55F5-4713-97EA-463851112177}"/>
    <cellStyle name="Normal 38" xfId="1391" xr:uid="{CE600903-96C9-4BFB-B6AE-C3A568898B3E}"/>
    <cellStyle name="Normal 38 2" xfId="1392" xr:uid="{8586A3B5-6534-4150-B49D-2B21273BE651}"/>
    <cellStyle name="Normal 4" xfId="1393" xr:uid="{A75A5C9F-A401-4B62-AC6F-383AABC70428}"/>
    <cellStyle name="Normal 4 2" xfId="1394" xr:uid="{DAE120E2-886D-49CA-878A-EBA06A0D0C1B}"/>
    <cellStyle name="Normal 4 2 2" xfId="1395" xr:uid="{3B0C4CB3-9EB9-409B-8F98-951FAA6AE79B}"/>
    <cellStyle name="Normal 4 3" xfId="1396" xr:uid="{CB1660B7-3482-4672-BA53-37B5AA729B06}"/>
    <cellStyle name="Normal 4 3 2" xfId="1397" xr:uid="{A9C7B8EB-7033-4E2C-8FBA-BB0C620E6D45}"/>
    <cellStyle name="Normal 4 4" xfId="1398" xr:uid="{D215875D-0EE9-4023-B2DC-F8A86451D1AE}"/>
    <cellStyle name="Normal 4 4 2" xfId="1399" xr:uid="{6736723B-0D54-4D75-B766-E048562BD1FD}"/>
    <cellStyle name="Normal 45" xfId="1400" xr:uid="{91C70B94-1745-46D6-9AED-2B3758A72CF4}"/>
    <cellStyle name="Normal 5" xfId="1401" xr:uid="{62DF54C5-26CB-40F1-AD28-8A99FCD1ABC7}"/>
    <cellStyle name="Normal 5 2" xfId="1402" xr:uid="{8C8A7916-EDCD-4E28-A7C6-3207A435058B}"/>
    <cellStyle name="Normal 5 2 2" xfId="1403" xr:uid="{E53265DC-5D57-40BD-BDD2-AF47EDDFE86A}"/>
    <cellStyle name="Normal 5 2 2 2" xfId="1404" xr:uid="{F61EF88E-90FA-48D2-AE5B-BB40E6B646CC}"/>
    <cellStyle name="Normal 5 3" xfId="1405" xr:uid="{DF2377AD-5884-4501-BE67-2443BCBDE4BC}"/>
    <cellStyle name="Normal 5 3 2" xfId="1406" xr:uid="{71267D63-E189-4AB5-ABE2-BAD7B357B126}"/>
    <cellStyle name="Normal 6" xfId="1407" xr:uid="{6BEE9278-06E5-4209-B3ED-E30CD5FBE6EB}"/>
    <cellStyle name="Normal 6 2" xfId="1408" xr:uid="{F1FC4E2B-7F1B-4E29-B925-652F50251749}"/>
    <cellStyle name="Normal 6 2 2" xfId="1409" xr:uid="{79DBFF74-BC93-472D-B8DB-01AA2B8C2B67}"/>
    <cellStyle name="Normal 6 3" xfId="1410" xr:uid="{F19EEC14-EEDC-4B46-86FA-3BBD30C97F60}"/>
    <cellStyle name="Normal 7" xfId="1411" xr:uid="{1212DBE0-2FA7-4C7F-8AD2-7B1D089CF948}"/>
    <cellStyle name="Normal 7 2" xfId="1412" xr:uid="{43093235-89C4-44AE-A804-E3B7A5B52EAF}"/>
    <cellStyle name="Normal 8" xfId="1413" xr:uid="{1683C3DA-5AE4-4374-9DDB-020F00475F41}"/>
    <cellStyle name="Normal 8 2" xfId="1414" xr:uid="{28D2DFF6-DCE2-4F69-AA69-8FBCF7AFEFAC}"/>
    <cellStyle name="Normal 8 2 2" xfId="1415" xr:uid="{23EB41B1-FC96-4607-8916-7962527F38F3}"/>
    <cellStyle name="Normal 8 2 2 3" xfId="1416" xr:uid="{9C22A4B1-0700-471F-A0E8-89FB61DA4E64}"/>
    <cellStyle name="Normal 8 2 3" xfId="1417" xr:uid="{89B3090A-1AC8-4FAE-A73C-79DF043E229C}"/>
    <cellStyle name="Normal 8 3" xfId="1418" xr:uid="{FCAA851E-725F-48BC-949B-C87F657F0A8E}"/>
    <cellStyle name="Normal 8 4" xfId="1419" xr:uid="{B0B9320E-A2EC-4FC5-82A8-C1D092C676A4}"/>
    <cellStyle name="Normal 9" xfId="1420" xr:uid="{9677CBE4-8977-484F-BC36-5F7F0C81AEBD}"/>
    <cellStyle name="Normal 9 2" xfId="1421" xr:uid="{EDA7BA99-D27D-4377-A86E-4319F0A42538}"/>
    <cellStyle name="Normal 9 2 2" xfId="1422" xr:uid="{CE9A6C54-A4D2-4FC7-9B52-FFAA43B58370}"/>
    <cellStyle name="Normal 9 2 3" xfId="1423" xr:uid="{228A2848-5ED8-46FC-BD43-1CBD3D21FC06}"/>
    <cellStyle name="Normal 9 3" xfId="1424" xr:uid="{B6748418-8C73-4CCF-8893-E07F69EB47C9}"/>
    <cellStyle name="Normal 9 3 2" xfId="1425" xr:uid="{6207856E-BB35-42AB-BF0C-CC2F3DAD7AC7}"/>
    <cellStyle name="Normal 9 4" xfId="1426" xr:uid="{80F0B1BC-52CF-49E0-8B65-13B9B2F20D2B}"/>
    <cellStyle name="Normal 9 5" xfId="1427" xr:uid="{16650869-6218-4B53-A751-1B6F2B085708}"/>
    <cellStyle name="Normal_Bill x.1" xfId="1428" xr:uid="{7854BAE7-F7FF-4AAA-85AF-350016311B6B}"/>
    <cellStyle name="Normal_Sheet1" xfId="1429" xr:uid="{B8682C41-9CB3-4199-9661-FAE51CBDAD4D}"/>
    <cellStyle name="Normal_Tame paraugs" xfId="1430" xr:uid="{C8D236C5-34F0-42F9-AF2D-1ADBA5163274}"/>
    <cellStyle name="Normal_Tāme" xfId="1431" xr:uid="{093F9F10-4DB5-47FB-A1AF-611CAEA6B498}"/>
    <cellStyle name="Normalny_price List 2005 WAY_INT" xfId="1432" xr:uid="{215BDD6B-9AA6-4004-8746-A32B3299048F}"/>
    <cellStyle name="Nosaukums 2" xfId="1433" xr:uid="{8252265F-923A-40A8-A49E-EF0A831BFEC4}"/>
    <cellStyle name="Nosaukums 3" xfId="1434" xr:uid="{FE79C44E-26AE-4C9E-A0D4-A6BF68E20744}"/>
    <cellStyle name="Note 2" xfId="1435" xr:uid="{368679D9-20DD-4A7A-8D89-1A4D15D532D0}"/>
    <cellStyle name="Note 2 2" xfId="1436" xr:uid="{C2D6DBEE-5F98-4C5B-8F91-4E482ABA7A98}"/>
    <cellStyle name="Note 3" xfId="1437" xr:uid="{AE67C6FB-DB60-4883-BFBC-EC19F159C875}"/>
    <cellStyle name="Note 3 2" xfId="1438" xr:uid="{DF727DC9-8490-4BC7-96F7-BA1D5AAB43AD}"/>
    <cellStyle name="Output 2" xfId="1439" xr:uid="{043B15D8-77DC-4FD8-B983-BB845E1FA54E}"/>
    <cellStyle name="Output 2 2" xfId="1440" xr:uid="{3BB58607-4E72-409B-A221-DB2EA34F321F}"/>
    <cellStyle name="Parastais 10" xfId="1441" xr:uid="{8B7C4C74-1328-4FFB-938C-8184FCADEE82}"/>
    <cellStyle name="Parastais 2 2" xfId="1442" xr:uid="{4E33B9AD-B223-4042-820A-AA871CC73C83}"/>
    <cellStyle name="Parastais 3" xfId="1443" xr:uid="{0509336E-FC92-48C6-8A44-A9917E202A6B}"/>
    <cellStyle name="Parastais 3 2" xfId="1444" xr:uid="{C725968D-F4BA-4561-9575-E62DEBDD71D9}"/>
    <cellStyle name="Parastais 7" xfId="1445" xr:uid="{EE8A9147-96E5-47A1-874A-8537F3CDC645}"/>
    <cellStyle name="Parastais 8" xfId="1446" xr:uid="{9CC66D63-9D99-463B-950E-BB34B30B167D}"/>
    <cellStyle name="Parastais_EL eka+AF8-2" xfId="1447" xr:uid="{DE5180A5-F3D7-47A2-ADB7-C01CEA03A67A}"/>
    <cellStyle name="Parasts" xfId="0" builtinId="0"/>
    <cellStyle name="Parasts 2" xfId="1448" xr:uid="{BBD5040A-4290-4DD2-9BD7-F1029A2CA5D2}"/>
    <cellStyle name="Parasts 2 2" xfId="1449" xr:uid="{42E6C249-DB24-4E00-A5DB-AD4346D18E5B}"/>
    <cellStyle name="Parasts 2 2 2" xfId="1450" xr:uid="{F496D259-E1CA-408D-9C12-BD02209C81A8}"/>
    <cellStyle name="Parasts 2 2 3" xfId="1451" xr:uid="{432BD2B6-E3FE-4B22-8CA0-947A5E3A5FDC}"/>
    <cellStyle name="Parasts 2 3" xfId="1452" xr:uid="{C1141E52-8DCC-47D5-A23D-6388FC38B7C1}"/>
    <cellStyle name="Parasts 2 4" xfId="1453" xr:uid="{254D14CB-FA0A-4019-9E11-00E981B2E9AE}"/>
    <cellStyle name="Parasts 3" xfId="1454" xr:uid="{27ECB451-7A88-461C-91BD-93ABE26E36EB}"/>
    <cellStyle name="Parasts 4" xfId="1455" xr:uid="{9BD3079E-8816-4524-83E7-A9846322EEDC}"/>
    <cellStyle name="Parasts 5" xfId="1456" xr:uid="{C84B18EF-329C-44FF-98A4-79F14CEFE924}"/>
    <cellStyle name="Parasts 6" xfId="1457" xr:uid="{3316D267-03FB-46B0-8F78-67B5DC9F3247}"/>
    <cellStyle name="Pārbaudes šūna 2" xfId="1458" xr:uid="{C77836C9-6226-41F5-80C0-4CCC6E041193}"/>
    <cellStyle name="Percent 2" xfId="1459" xr:uid="{D363609E-E951-4204-AAB2-D851C4021CC0}"/>
    <cellStyle name="Percent 2 2" xfId="1460" xr:uid="{69F4E5DE-BEF0-413B-B3C5-1C47BEC1B2B6}"/>
    <cellStyle name="Percent 2 2 2" xfId="1461" xr:uid="{9FFAFCB0-3F03-4B76-8F92-C2644A69DC0B}"/>
    <cellStyle name="Percent 3" xfId="1462" xr:uid="{A98AE8D2-C058-4E2F-A190-CE78A64B73CF}"/>
    <cellStyle name="Percent 4" xfId="1463" xr:uid="{F764273A-2ADD-43AE-8874-7108C12D9D4C}"/>
    <cellStyle name="Percent 5" xfId="1464" xr:uid="{B15382B8-69EB-41D8-B1E2-0EFF8D554D26}"/>
    <cellStyle name="Percent 5 2" xfId="1465" xr:uid="{9E87C90D-66A4-4153-8080-BDEA5464BCA4}"/>
    <cellStyle name="Percent 5 2 2" xfId="1466" xr:uid="{EA497F49-D984-4D51-AD0B-CFAD5498B0DA}"/>
    <cellStyle name="Percent 5 3" xfId="1467" xr:uid="{0A3DE4CD-D6B5-4A39-96CE-80EE2F571CFC}"/>
    <cellStyle name="Percent 6" xfId="1468" xr:uid="{18D71626-5B75-40AB-A531-0BBD84AB2A28}"/>
    <cellStyle name="Percent 7" xfId="1469" xr:uid="{A67AA99C-F04E-474D-9604-824B52A74C27}"/>
    <cellStyle name="Piezīme 2" xfId="1470" xr:uid="{E273E90F-349A-4907-BB31-E2262B5E4124}"/>
    <cellStyle name="Position" xfId="1471" xr:uid="{EBC9F296-F4DB-444D-B204-F61246350DF2}"/>
    <cellStyle name="Procenti 2" xfId="1472" xr:uid="{11A7E458-2181-4D9C-BA87-AE6ED93589CE}"/>
    <cellStyle name="Saistītā šūna" xfId="1473" xr:uid="{9A8CB49E-B8B2-416A-8FC0-9ECFBDAEA212}"/>
    <cellStyle name="Slikts 2" xfId="1474" xr:uid="{AB31DFF8-C4BE-4688-B67E-CAEEFE01F274}"/>
    <cellStyle name="Standard_Anpassen der Amortisation" xfId="1475" xr:uid="{D4DDA07B-F023-4714-A8D7-22AFA6DBBD4D}"/>
    <cellStyle name="Stils 1" xfId="1476" xr:uid="{ED422267-41B5-45AD-8206-8B6FE0632D12}"/>
    <cellStyle name="Stils 1 2" xfId="1477" xr:uid="{C954E0AB-F678-4DB9-AAE9-672552BD85D2}"/>
    <cellStyle name="Style 1" xfId="1478" xr:uid="{2566BCB5-13C7-4784-9D81-4523E24892B5}"/>
    <cellStyle name="Style 1 2" xfId="1479" xr:uid="{498BE864-9C4A-4A97-AB19-840AD23C367B}"/>
    <cellStyle name="Style 1 2 2" xfId="1480" xr:uid="{A7027805-B6B4-4E7C-BC84-572C6FA7FE2D}"/>
    <cellStyle name="Style 1 2 3" xfId="1481" xr:uid="{8CA5B0FC-EC5F-4E56-AB07-E5CE0E864DD1}"/>
    <cellStyle name="Style 1 2 4" xfId="1482" xr:uid="{D54F857A-8F64-4FFA-B72B-9F6DFE6CE896}"/>
    <cellStyle name="Style 1 3" xfId="1483" xr:uid="{C5E7F581-249A-48FD-8320-879A88864C20}"/>
    <cellStyle name="Style 1 4" xfId="1484" xr:uid="{69770AF5-3680-471A-BAC2-7042CB52CF7E}"/>
    <cellStyle name="Style 2" xfId="1485" xr:uid="{FB5055DD-6E7E-4E7D-ACF3-4BD0C3338046}"/>
    <cellStyle name="Title 2" xfId="1486" xr:uid="{07AAD02C-BBB3-44A4-88A5-7B62B643FD31}"/>
    <cellStyle name="Title 2 2" xfId="1487" xr:uid="{AD9ADA90-8B81-4169-ADD1-5BB36E8AD142}"/>
    <cellStyle name="Title 2 3" xfId="1488" xr:uid="{CB76BD08-DB4F-4D1D-8684-CDF1A415F973}"/>
    <cellStyle name="Total 2" xfId="1489" xr:uid="{35D628E1-A6C5-4C2E-BF2B-B3E6DE894F2B}"/>
    <cellStyle name="Total 2 2" xfId="1490" xr:uid="{57A7EAEA-9EF3-44FF-A401-E184CF2B10C8}"/>
    <cellStyle name="Total 2 2 2" xfId="1491" xr:uid="{37FBF42B-8766-43F0-BA91-E13F192BA322}"/>
    <cellStyle name="Total 2 3" xfId="1492" xr:uid="{8DFA2AE8-B05D-473B-B55E-A702ADE02E1F}"/>
    <cellStyle name="Unit" xfId="1493" xr:uid="{5CB8F90B-E461-491D-937A-C149C460E399}"/>
    <cellStyle name="Virsraksts 1 2" xfId="1494" xr:uid="{3DB83C68-FBCF-4E52-AEA0-3CFFDD20F9B8}"/>
    <cellStyle name="Virsraksts 2 2" xfId="1495" xr:uid="{F3533C3D-5B9E-47DE-B0A0-400FA0B2EB15}"/>
    <cellStyle name="Virsraksts 3 2" xfId="1496" xr:uid="{9CAE82E2-E84C-47D9-8709-E27B5B4F596B}"/>
    <cellStyle name="Virsraksts 4 2" xfId="1497" xr:uid="{785E7195-717E-4439-9404-389548181627}"/>
    <cellStyle name="Währung [0]_Compiling Utility Macros" xfId="1498" xr:uid="{3A312A10-5B98-4D53-A469-F23E47EF62F9}"/>
    <cellStyle name="Währung_Compiling Utility Macros" xfId="1499" xr:uid="{7F127FF3-8A49-4A96-A224-014DDD5CD075}"/>
    <cellStyle name="Warning Text 2" xfId="1500" xr:uid="{2A6E9B42-7DF9-4390-8555-639CCE2A9BBF}"/>
    <cellStyle name="Акцент1" xfId="1501" xr:uid="{BE979B4A-A591-46C2-B2A9-2DF1EB3337CE}"/>
    <cellStyle name="Акцент1 2" xfId="1502" xr:uid="{57B3E9B9-8525-477D-AABD-BA3B3000C279}"/>
    <cellStyle name="Акцент1 2 2" xfId="1503" xr:uid="{4B27DF27-E4DC-4E2F-9837-9DB97C699BA7}"/>
    <cellStyle name="Акцент1 3" xfId="1504" xr:uid="{1C9F7CBB-102A-4CB0-8EFB-05D550F701B0}"/>
    <cellStyle name="Акцент2" xfId="1505" xr:uid="{79159F88-1D1D-4FFC-A504-7EA052DA7741}"/>
    <cellStyle name="Акцент2 2" xfId="1506" xr:uid="{08669801-C375-4DBF-B4B2-AB0623FC5C99}"/>
    <cellStyle name="Акцент2 2 2" xfId="1507" xr:uid="{0A8955E0-DB88-4084-BE43-47C06797C79D}"/>
    <cellStyle name="Акцент2 3" xfId="1508" xr:uid="{A7F2BFCB-BCA3-4267-90F8-A7211051D789}"/>
    <cellStyle name="Акцент3" xfId="1509" xr:uid="{FBDCF7BD-2A1B-46C3-8B3B-17B47574BE4A}"/>
    <cellStyle name="Акцент3 2" xfId="1510" xr:uid="{F22B0AA5-DFFD-48B7-B452-8D3D64BDFAF1}"/>
    <cellStyle name="Акцент3 2 2" xfId="1511" xr:uid="{CE468182-927A-4D0A-8DAC-D86C405FB47C}"/>
    <cellStyle name="Акцент3 3" xfId="1512" xr:uid="{B698C240-F717-4EC9-8BE3-DB1D9212FD95}"/>
    <cellStyle name="Акцент4" xfId="1513" xr:uid="{ABC9B037-BCE7-4921-9BEC-5A7351C83F47}"/>
    <cellStyle name="Акцент4 2" xfId="1514" xr:uid="{C734C0A0-D352-434A-AC3C-71B0265D18DA}"/>
    <cellStyle name="Акцент4 2 2" xfId="1515" xr:uid="{55722FEC-7DD5-4E05-8BC1-5078E2A8E4AA}"/>
    <cellStyle name="Акцент4 3" xfId="1516" xr:uid="{FC38CE2F-E889-41C5-9AF7-7744514C3DC2}"/>
    <cellStyle name="Акцент5" xfId="1517" xr:uid="{90D57255-8737-475A-8317-E167ABCC8B69}"/>
    <cellStyle name="Акцент5 2" xfId="1518" xr:uid="{7DB25E9E-6282-4956-9E6D-B829FC23D208}"/>
    <cellStyle name="Акцент5 2 2" xfId="1519" xr:uid="{EC609C19-D280-4F00-ABFB-0355DEE28BCC}"/>
    <cellStyle name="Акцент5 3" xfId="1520" xr:uid="{3A09C16C-E24B-4B98-BD4A-8AE8A2B80C84}"/>
    <cellStyle name="Акцент6" xfId="1521" xr:uid="{9BAC43DF-E1F2-4B3C-B514-FFDFBB8AB818}"/>
    <cellStyle name="Акцент6 2" xfId="1522" xr:uid="{900E46AA-7244-4326-B499-489541767967}"/>
    <cellStyle name="Акцент6 2 2" xfId="1523" xr:uid="{94A38985-8AEE-4A2D-A16C-BC8A5041B1F9}"/>
    <cellStyle name="Акцент6 3" xfId="1524" xr:uid="{F5B09C75-B5B2-4ABE-A9CB-AE5EE89C0054}"/>
    <cellStyle name="Ввод " xfId="1525" xr:uid="{3C51A11A-E405-49B7-ADFC-EE9528AB7A29}"/>
    <cellStyle name="Ввод  2" xfId="1526" xr:uid="{B83BB7AF-054F-4EEE-A60B-877EB854AC03}"/>
    <cellStyle name="Ввод  2 2" xfId="1527" xr:uid="{58B27BFA-08E9-4FBA-A26D-15A54829F7DE}"/>
    <cellStyle name="Ввод  3" xfId="1528" xr:uid="{D4C55197-4DE5-478F-A46B-A0542131BF8A}"/>
    <cellStyle name="Вывод" xfId="1529" xr:uid="{56DD6BE0-C885-4CA3-B2BE-6992931B608F}"/>
    <cellStyle name="Вывод 2" xfId="1530" xr:uid="{EF41688F-E377-445B-89F3-E024169B64AB}"/>
    <cellStyle name="Вывод 2 2" xfId="1531" xr:uid="{D796AFE6-C73B-4049-90BA-EF4427466F4C}"/>
    <cellStyle name="Вывод 3" xfId="1532" xr:uid="{ABB5BF77-2AED-435C-8F76-362E540D302B}"/>
    <cellStyle name="Вычисление" xfId="1533" xr:uid="{4E1F4EA2-5077-4386-BA4D-0C1C1B7F0652}"/>
    <cellStyle name="Вычисление 2" xfId="1534" xr:uid="{93995ABB-BD9D-478C-9301-56607AB04AE6}"/>
    <cellStyle name="Вычисление 2 2" xfId="1535" xr:uid="{268A5B77-B885-4F72-9B02-AA847223FB5E}"/>
    <cellStyle name="Вычисление 3" xfId="1536" xr:uid="{D233CA38-01E1-48ED-8FD9-42945E7D378D}"/>
    <cellStyle name="Гиперссылка 2" xfId="1537" xr:uid="{44FDF390-F1D6-4D66-B778-E4E0CAF91C07}"/>
    <cellStyle name="Заголовок 1" xfId="1538" xr:uid="{8D9A5828-E228-46FC-98D9-2635BC58E96C}"/>
    <cellStyle name="Заголовок 1 2" xfId="1539" xr:uid="{DBD4AC18-C22F-4880-B88C-F7DA7690DE7A}"/>
    <cellStyle name="Заголовок 1 2 2" xfId="1540" xr:uid="{D10C7B69-AB4D-4C36-B3EA-F69CF85F692A}"/>
    <cellStyle name="Заголовок 1 3" xfId="1541" xr:uid="{81C7E3D2-D66C-4018-A21E-5A944FEEE9AA}"/>
    <cellStyle name="Заголовок 2" xfId="1542" xr:uid="{800002D9-860D-49D8-923E-4F1511D9BC12}"/>
    <cellStyle name="Заголовок 2 2" xfId="1543" xr:uid="{197F9B3E-DAE0-4EE1-9272-C8F4F8D0BB87}"/>
    <cellStyle name="Заголовок 2 2 2" xfId="1544" xr:uid="{BFBD3F5A-8BD2-4D83-971A-37399100C2A8}"/>
    <cellStyle name="Заголовок 2 3" xfId="1545" xr:uid="{DC54ED1B-6DFF-4A3F-95DE-7801B471B515}"/>
    <cellStyle name="Заголовок 3" xfId="1546" xr:uid="{5ADD207D-2B5B-4006-AAEE-E4AD2F5CD303}"/>
    <cellStyle name="Заголовок 3 2" xfId="1547" xr:uid="{EF43FA92-1BEE-4CBC-9FA3-903738002AEB}"/>
    <cellStyle name="Заголовок 3 2 2" xfId="1548" xr:uid="{C5512CCF-C87D-4710-9D81-97139DC14381}"/>
    <cellStyle name="Заголовок 3 3" xfId="1549" xr:uid="{DAAC85E2-088F-41E9-A2F2-2B0835B18D53}"/>
    <cellStyle name="Заголовок 4" xfId="1550" xr:uid="{9210A16F-CAB3-4F1D-8A8D-921892085B5B}"/>
    <cellStyle name="Заголовок 4 2" xfId="1551" xr:uid="{4771D61E-E346-4406-9F5E-CD994BDB966F}"/>
    <cellStyle name="Заголовок 4 2 2" xfId="1552" xr:uid="{12518EBE-4B80-4FAF-AC81-B6E2281BCE64}"/>
    <cellStyle name="Заголовок 4 3" xfId="1553" xr:uid="{B3F151CA-57BD-4A07-B805-EE0970913D4A}"/>
    <cellStyle name="Итог" xfId="1554" xr:uid="{DCAF8FF3-CFE6-4ECF-B7E9-E6D2926242B5}"/>
    <cellStyle name="Итог 2" xfId="1555" xr:uid="{79BCEAE9-9D70-4E7F-B856-BA77F97012E7}"/>
    <cellStyle name="Итог 2 2" xfId="1556" xr:uid="{5145361B-3FAD-40FD-8C8B-127D0BBB2096}"/>
    <cellStyle name="Итог 3" xfId="1557" xr:uid="{310C0735-8F7E-4C0F-92A6-67733D1D945A}"/>
    <cellStyle name="Контрольная ячейка" xfId="1558" xr:uid="{451D98FC-781C-4C2A-A536-B902F6003C6D}"/>
    <cellStyle name="Контрольная ячейка 2" xfId="1559" xr:uid="{BF2D6EFA-C85D-4410-B604-E5051C43ED61}"/>
    <cellStyle name="Контрольная ячейка 2 2" xfId="1560" xr:uid="{8E2EBBE3-F456-41ED-BB35-988555620D2B}"/>
    <cellStyle name="Контрольная ячейка 3" xfId="1561" xr:uid="{547D9B5C-19C9-4F87-A18C-1DC4A0CF533A}"/>
    <cellStyle name="Название" xfId="1562" xr:uid="{79B95565-D561-46CF-B88E-9E7C6637BE5D}"/>
    <cellStyle name="Название 2" xfId="1563" xr:uid="{B6AC0136-1179-4CE2-8CA1-4166F047DAD7}"/>
    <cellStyle name="Название 2 2" xfId="1564" xr:uid="{19CC336C-C12C-493F-B20D-B7921A1EBBEA}"/>
    <cellStyle name="Название 3" xfId="1565" xr:uid="{1765E351-7E21-4099-AF4E-3E168E1BAF07}"/>
    <cellStyle name="Нейтральный" xfId="1566" xr:uid="{FF3F28D3-ABC7-4585-90D6-08242A907B1B}"/>
    <cellStyle name="Нейтральный 2" xfId="1567" xr:uid="{E59E822D-4ED4-45CB-85B7-FC0EB7E0C902}"/>
    <cellStyle name="Нейтральный 3" xfId="1568" xr:uid="{4741A53F-5EC2-49E3-A774-3144FD2E0A57}"/>
    <cellStyle name="Нейтральный 4" xfId="1569" xr:uid="{43C0C561-5BBD-4C94-BC84-23D083058C2C}"/>
    <cellStyle name="Нейтральный 4 2" xfId="1570" xr:uid="{608EE203-9254-4041-8A42-14313D549F4E}"/>
    <cellStyle name="Нейтральный 5" xfId="1571" xr:uid="{698CFB32-38A3-4A2D-9A97-6D281716365E}"/>
    <cellStyle name="Обычный 2" xfId="1572" xr:uid="{06A95A50-D8E6-4175-92BE-A4D063208D64}"/>
    <cellStyle name="Обычный 2 2" xfId="1573" xr:uid="{366109C0-A97F-4887-B614-46BDDB72113C}"/>
    <cellStyle name="Обычный 2 2 2" xfId="1574" xr:uid="{64B1D237-9713-46B2-BA30-89F13B57DBF0}"/>
    <cellStyle name="Обычный 2 2 2 2" xfId="1575" xr:uid="{2AFF9575-7443-445E-AB97-2D21B4DEC634}"/>
    <cellStyle name="Обычный 2 2 3" xfId="1576" xr:uid="{9FE504AF-8F8F-44E6-B5BC-06333BA7FA5A}"/>
    <cellStyle name="Обычный 2 2 4" xfId="1577" xr:uid="{375CB565-CDD6-4111-B466-F855C9E8435F}"/>
    <cellStyle name="Обычный 2 3" xfId="1578" xr:uid="{EBE3265F-BFC6-409C-9E9D-EC4D6AB4DCC4}"/>
    <cellStyle name="Обычный 2 3 2" xfId="1579" xr:uid="{52C8F9C2-5ECF-4E3E-AF31-0DD7B62C850D}"/>
    <cellStyle name="Обычный 2 4" xfId="1580" xr:uid="{7EA432C0-1FB2-47FB-B187-FDD12C01FA2C}"/>
    <cellStyle name="Обычный 3" xfId="1581" xr:uid="{4DF725BB-D789-4CAB-87BA-405DB4F818E5}"/>
    <cellStyle name="Обычный 3 2" xfId="1582" xr:uid="{BF910F3B-2CDC-427E-9DED-702028BC3F90}"/>
    <cellStyle name="Обычный_01.DPN_PINKI_TIPOGRAFIJA_KONTROLTAME_VADIMS-na sertifikat" xfId="1583" xr:uid="{97F1222E-D0B6-4369-A634-562637912E10}"/>
    <cellStyle name="Обычный_33. OZOLNIEKU NOVADA DOME_OZO SKOLA_TELPU, GAITENU, KAPNU TELPU REMONTS_TAME_VADIMS_2011_02_25_melnraksts" xfId="1584" xr:uid="{4F939A20-4C19-4407-9896-D52C472134A7}"/>
    <cellStyle name="Плохой" xfId="1585" xr:uid="{6B7BC3D9-FFA2-4410-ADCA-4981453373BA}"/>
    <cellStyle name="Плохой 2" xfId="1586" xr:uid="{121B51DB-BEC8-415E-8F1A-3ACE0D01BF5E}"/>
    <cellStyle name="Плохой 2 2" xfId="1587" xr:uid="{209D5C85-C840-48C0-8FEC-0423B4861ECD}"/>
    <cellStyle name="Плохой 3" xfId="1588" xr:uid="{662F1F8A-8F60-462A-B8C4-0D0437C9F9C6}"/>
    <cellStyle name="Пояснение" xfId="1589" xr:uid="{F9EB9433-F43A-4A99-A81C-67DCCB1361F4}"/>
    <cellStyle name="Пояснение 2" xfId="1590" xr:uid="{98CC44D9-3026-4E16-8789-0EC964126A16}"/>
    <cellStyle name="Пояснение 2 2" xfId="1591" xr:uid="{20DDDCB7-9C2D-41A3-97DC-211D4E7CC32A}"/>
    <cellStyle name="Пояснение 3" xfId="1592" xr:uid="{60475F49-8E93-489E-AAC2-6B1B54ABE714}"/>
    <cellStyle name="Примечание" xfId="1593" xr:uid="{1285CF7D-4609-4404-B9EC-9C83C5257160}"/>
    <cellStyle name="Процентный_Tame BS AUE" xfId="1594" xr:uid="{C11D3125-BFF5-407A-8165-34C88FCC2C75}"/>
    <cellStyle name="Связанная ячейка" xfId="1595" xr:uid="{96CA658A-0EB3-4CE1-A62A-3EC5F8FCE1C2}"/>
    <cellStyle name="Связанная ячейка 2" xfId="1596" xr:uid="{698606EB-1C22-4388-9DBA-1070059E3FDD}"/>
    <cellStyle name="Связанная ячейка 2 2" xfId="1597" xr:uid="{5061D2B2-1AF8-4DD4-B098-FE2BF05D2EF9}"/>
    <cellStyle name="Связанная ячейка 3" xfId="1598" xr:uid="{492F1835-B5A0-4679-A18E-ABD5619C7AB5}"/>
    <cellStyle name="Стиль 1" xfId="1599" xr:uid="{F29CB647-F5A3-4BCC-8378-B04D1C4402CA}"/>
    <cellStyle name="Стиль 1 2" xfId="1600" xr:uid="{46CA0784-AC88-496F-BE17-9B73C57819C5}"/>
    <cellStyle name="Текст предупреждения" xfId="1601" xr:uid="{5C2BF8B0-6D88-4D4F-A1A6-29675620A28A}"/>
    <cellStyle name="Текст предупреждения 2" xfId="1602" xr:uid="{FCADBE59-E2F3-497D-807D-1562B3DCB826}"/>
    <cellStyle name="Текст предупреждения 2 2" xfId="1603" xr:uid="{3BB4F76D-CAD1-445C-A6E7-BF67E0CF8B10}"/>
    <cellStyle name="Текст предупреждения 3" xfId="1604" xr:uid="{053C810F-DC46-44E7-B8EB-F8D579085650}"/>
    <cellStyle name="Финансовый_Tame BS AUE" xfId="1605" xr:uid="{ABC4BB41-AEE5-48F2-9F8E-1A767F6C3084}"/>
    <cellStyle name="Хороший" xfId="1606" xr:uid="{D8D533EA-9A0F-4B07-9C56-9F906B7B9C6A}"/>
    <cellStyle name="Хороший 2" xfId="1607" xr:uid="{8477839A-49EC-4EE5-A37A-8CCEBE592403}"/>
    <cellStyle name="Хороший 2 2" xfId="1608" xr:uid="{61A76555-4016-4232-93C6-D6BA38989AB1}"/>
    <cellStyle name="Хороший 3" xfId="1609" xr:uid="{F506BEFD-C8B1-466E-AEE8-782F5531BC47}"/>
  </cellStyles>
  <dxfs count="148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likumi.lv/wwwraksti/2017/103/BILDES/N_239/P5.DOC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likumi.lv/wwwraksti/2017/103/BILDES/N_239/P5.DOC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likumi.lv/wwwraksti/2017/103/BILDES/N_239/P5.DOC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likumi.lv/wwwraksti/2017/103/BILDES/N_239/P5.DOC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likumi.lv/wwwraksti/2017/103/BILDES/N_239/P5.DOC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likumi.lv/wwwraksti/2017/103/BILDES/N_239/P5.DOC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likumi.lv/wwwraksti/2017/103/BILDES/N_239/P5.DOC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likumi.lv/wwwraksti/2017/103/BILDES/N_239/P5.DOC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ikumi.lv/wwwraksti/2017/103/BILDES/N_239/P6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ikumi.lv/wwwraksti/2017/103/BILDES/N_239/P5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ikumi.lv/wwwraksti/2017/103/BILDES/N_239/P5.DOC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likumi.lv/wwwraksti/2017/103/BILDES/N_239/P5.DOC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likumi.lv/wwwraksti/2017/103/BILDES/N_239/P5.DOC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likumi.lv/wwwraksti/2017/103/BILDES/N_239/P5.DOC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likumi.lv/wwwraksti/2017/103/BILDES/N_239/P5.DOC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likumi.lv/wwwraksti/2017/103/BILDES/N_239/P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7C65-4B34-4739-BBC7-F737367F665C}">
  <dimension ref="A1:Q35"/>
  <sheetViews>
    <sheetView tabSelected="1" zoomScale="120" zoomScaleNormal="120" workbookViewId="0">
      <selection activeCell="S17" sqref="S17"/>
    </sheetView>
  </sheetViews>
  <sheetFormatPr defaultRowHeight="15"/>
  <cols>
    <col min="10" max="10" width="5.28515625" customWidth="1"/>
    <col min="11" max="11" width="0.85546875" customWidth="1"/>
    <col min="12" max="17" width="9.140625" hidden="1" customWidth="1"/>
  </cols>
  <sheetData>
    <row r="1" spans="1:17" s="25" customFormat="1">
      <c r="I1" s="26" t="s">
        <v>37</v>
      </c>
      <c r="J1" s="26"/>
    </row>
    <row r="2" spans="1:17" s="25" customFormat="1" ht="12.75">
      <c r="H2" s="27"/>
      <c r="I2" s="27"/>
      <c r="J2" s="27"/>
    </row>
    <row r="3" spans="1:17" s="25" customFormat="1" ht="12.75">
      <c r="H3" s="365" t="s">
        <v>38</v>
      </c>
      <c r="I3" s="365"/>
      <c r="J3" s="365"/>
    </row>
    <row r="4" spans="1:17" s="25" customFormat="1" ht="12.75"/>
    <row r="5" spans="1:17" s="25" customFormat="1" ht="12.75">
      <c r="H5" s="25" t="s">
        <v>497</v>
      </c>
    </row>
    <row r="6" spans="1:17" s="25" customFormat="1" ht="12.75"/>
    <row r="7" spans="1:17" s="25" customFormat="1" ht="15.75">
      <c r="A7" s="366" t="s">
        <v>39</v>
      </c>
      <c r="B7" s="366"/>
      <c r="C7" s="366"/>
      <c r="D7" s="366"/>
      <c r="E7" s="366"/>
      <c r="F7" s="366"/>
      <c r="G7" s="366"/>
      <c r="H7" s="366"/>
      <c r="I7" s="366"/>
      <c r="J7" s="366"/>
    </row>
    <row r="8" spans="1:17" s="25" customFormat="1" ht="15.75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7" s="25" customFormat="1">
      <c r="A9" s="367" t="s">
        <v>545</v>
      </c>
      <c r="B9" s="368"/>
      <c r="C9" s="368"/>
      <c r="D9" s="368"/>
      <c r="E9" s="368"/>
      <c r="F9" s="368"/>
      <c r="G9" s="368"/>
      <c r="H9" s="368"/>
      <c r="I9" s="368"/>
      <c r="J9" s="368"/>
    </row>
    <row r="10" spans="1:17" s="30" customFormat="1">
      <c r="A10" s="367" t="s">
        <v>540</v>
      </c>
      <c r="B10" s="368"/>
      <c r="C10" s="368"/>
      <c r="D10" s="368"/>
      <c r="E10" s="368"/>
      <c r="F10" s="368"/>
      <c r="G10" s="368"/>
      <c r="H10" s="368"/>
      <c r="I10" s="368"/>
      <c r="J10" s="368"/>
      <c r="K10" s="29"/>
      <c r="L10" s="29"/>
      <c r="M10" s="29"/>
      <c r="N10" s="29"/>
    </row>
    <row r="11" spans="1:17" s="25" customFormat="1">
      <c r="A11" s="369" t="s">
        <v>62</v>
      </c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7" s="25" customFormat="1" ht="12.75">
      <c r="A12" s="371"/>
      <c r="B12" s="371"/>
      <c r="C12" s="371"/>
      <c r="D12" s="31"/>
      <c r="E12" s="31"/>
      <c r="F12" s="31"/>
      <c r="G12" s="31"/>
      <c r="H12" s="31"/>
      <c r="I12" s="31"/>
      <c r="J12" s="31"/>
    </row>
    <row r="13" spans="1:17" s="25" customFormat="1" ht="52.5" customHeight="1">
      <c r="A13" s="347" t="s">
        <v>1</v>
      </c>
      <c r="B13" s="347"/>
      <c r="C13" s="347" t="s">
        <v>40</v>
      </c>
      <c r="D13" s="347"/>
      <c r="E13" s="347"/>
      <c r="F13" s="347"/>
      <c r="G13" s="347"/>
      <c r="H13" s="348" t="s">
        <v>41</v>
      </c>
      <c r="I13" s="348"/>
      <c r="J13" s="348"/>
    </row>
    <row r="14" spans="1:17" s="25" customFormat="1" ht="12.75">
      <c r="A14" s="349"/>
      <c r="B14" s="349"/>
      <c r="C14" s="350"/>
      <c r="D14" s="350"/>
      <c r="E14" s="350"/>
      <c r="F14" s="350"/>
      <c r="G14" s="350"/>
      <c r="H14" s="351"/>
      <c r="I14" s="351"/>
      <c r="J14" s="351"/>
      <c r="M14" s="363"/>
      <c r="N14" s="363"/>
      <c r="O14" s="363"/>
      <c r="P14" s="364"/>
      <c r="Q14" s="363"/>
    </row>
    <row r="15" spans="1:17" s="25" customFormat="1" ht="28.5" customHeight="1">
      <c r="A15" s="349">
        <v>1</v>
      </c>
      <c r="B15" s="349"/>
      <c r="C15" s="355" t="s">
        <v>546</v>
      </c>
      <c r="D15" s="356"/>
      <c r="E15" s="356"/>
      <c r="F15" s="356"/>
      <c r="G15" s="357"/>
      <c r="H15" s="420"/>
      <c r="I15" s="421"/>
      <c r="J15" s="422"/>
      <c r="M15" s="363"/>
      <c r="N15" s="363"/>
      <c r="O15" s="363"/>
      <c r="P15" s="363"/>
      <c r="Q15" s="363"/>
    </row>
    <row r="16" spans="1:17" s="25" customFormat="1" ht="12.75">
      <c r="A16" s="349"/>
      <c r="B16" s="349"/>
      <c r="C16" s="362" t="s">
        <v>42</v>
      </c>
      <c r="D16" s="362"/>
      <c r="E16" s="362"/>
      <c r="F16" s="362"/>
      <c r="G16" s="362"/>
      <c r="H16" s="423"/>
      <c r="I16" s="424"/>
      <c r="J16" s="425"/>
      <c r="N16" s="32"/>
    </row>
    <row r="17" spans="1:14" s="25" customFormat="1" ht="12.75">
      <c r="A17" s="426" t="s">
        <v>60</v>
      </c>
      <c r="B17" s="427"/>
      <c r="C17" s="427"/>
      <c r="D17" s="427"/>
      <c r="E17" s="427"/>
      <c r="F17" s="428"/>
      <c r="G17" s="60">
        <v>0.1</v>
      </c>
      <c r="H17" s="429"/>
      <c r="I17" s="430"/>
      <c r="J17" s="431"/>
      <c r="N17" s="32"/>
    </row>
    <row r="18" spans="1:14" s="25" customFormat="1" ht="12.75">
      <c r="A18" s="432"/>
      <c r="B18" s="432"/>
      <c r="C18" s="346" t="s">
        <v>48</v>
      </c>
      <c r="D18" s="346"/>
      <c r="E18" s="346"/>
      <c r="F18" s="346"/>
      <c r="G18" s="346"/>
      <c r="H18" s="420"/>
      <c r="I18" s="421"/>
      <c r="J18" s="422"/>
      <c r="M18" s="32"/>
    </row>
    <row r="19" spans="1:14" s="25" customFormat="1" ht="12.75">
      <c r="A19" s="433" t="s">
        <v>43</v>
      </c>
      <c r="B19" s="434"/>
      <c r="C19" s="434"/>
      <c r="D19" s="434"/>
      <c r="E19" s="434"/>
      <c r="F19" s="434"/>
      <c r="G19" s="435"/>
      <c r="H19" s="420"/>
      <c r="I19" s="421"/>
      <c r="J19" s="422"/>
      <c r="M19" s="32"/>
    </row>
    <row r="20" spans="1:14" s="33" customFormat="1" ht="12.75">
      <c r="A20" s="358"/>
      <c r="B20" s="358"/>
      <c r="C20" s="346" t="s">
        <v>61</v>
      </c>
      <c r="D20" s="346"/>
      <c r="E20" s="346"/>
      <c r="F20" s="346"/>
      <c r="G20" s="346"/>
      <c r="H20" s="420"/>
      <c r="I20" s="421"/>
      <c r="J20" s="422"/>
    </row>
    <row r="21" spans="1:14" s="25" customFormat="1" ht="12.75">
      <c r="A21" s="436"/>
      <c r="B21" s="436"/>
      <c r="C21" s="436"/>
      <c r="D21" s="436"/>
      <c r="E21" s="436"/>
      <c r="F21" s="436"/>
      <c r="G21" s="436"/>
      <c r="H21" s="437"/>
      <c r="I21" s="437"/>
      <c r="J21" s="437"/>
    </row>
    <row r="22" spans="1:14" s="25" customFormat="1" ht="24" customHeight="1">
      <c r="A22" s="34"/>
      <c r="B22" s="34"/>
      <c r="C22" s="34"/>
      <c r="D22" s="34"/>
      <c r="E22" s="34"/>
      <c r="F22" s="34"/>
      <c r="G22" s="34"/>
      <c r="H22" s="35"/>
      <c r="I22" s="35"/>
      <c r="J22" s="35"/>
    </row>
    <row r="23" spans="1:14" s="25" customFormat="1" ht="15.75">
      <c r="A23" s="34"/>
      <c r="B23" s="34"/>
      <c r="C23" s="34"/>
      <c r="D23" s="34"/>
      <c r="E23" s="34"/>
      <c r="F23" s="34"/>
      <c r="G23" s="34"/>
      <c r="H23" s="35"/>
      <c r="I23" s="35"/>
      <c r="J23" s="35"/>
    </row>
    <row r="24" spans="1:14" s="25" customFormat="1" ht="15.75">
      <c r="A24" s="359" t="s">
        <v>529</v>
      </c>
      <c r="B24" s="359"/>
      <c r="C24" s="359"/>
      <c r="D24" s="359"/>
      <c r="E24" s="359"/>
      <c r="F24" s="359"/>
      <c r="G24" s="359"/>
      <c r="H24" s="359"/>
      <c r="I24" s="359"/>
      <c r="J24" s="359"/>
    </row>
    <row r="25" spans="1:14" s="25" customFormat="1">
      <c r="A25" s="36"/>
      <c r="B25" s="360"/>
      <c r="C25" s="361"/>
      <c r="D25" s="361"/>
      <c r="E25" s="361"/>
      <c r="F25" s="37"/>
      <c r="G25" s="38"/>
      <c r="H25" s="38"/>
      <c r="I25" s="38"/>
      <c r="J25" s="38"/>
    </row>
    <row r="26" spans="1:14" s="25" customFormat="1">
      <c r="A26" s="36"/>
      <c r="B26" s="352"/>
      <c r="C26" s="353"/>
      <c r="D26" s="353"/>
      <c r="E26" s="354"/>
      <c r="F26" s="354"/>
      <c r="G26" s="354"/>
      <c r="H26" s="37"/>
      <c r="I26" s="40"/>
      <c r="J26" s="40"/>
    </row>
    <row r="27" spans="1:14" s="25" customFormat="1" ht="12.75">
      <c r="A27" s="36"/>
      <c r="C27" s="41"/>
      <c r="E27" s="39"/>
      <c r="F27" s="39"/>
      <c r="G27" s="37"/>
      <c r="H27" s="37"/>
      <c r="I27" s="40"/>
      <c r="J27" s="40"/>
    </row>
    <row r="28" spans="1:14" s="25" customFormat="1" ht="12.75">
      <c r="A28" s="36"/>
      <c r="C28" s="41"/>
      <c r="E28" s="39"/>
      <c r="F28" s="39"/>
      <c r="G28" s="37"/>
      <c r="H28" s="37"/>
      <c r="I28" s="40"/>
      <c r="J28" s="40"/>
    </row>
    <row r="29" spans="1:14" s="25" customFormat="1" ht="12.75">
      <c r="A29" s="42"/>
      <c r="B29" s="43"/>
      <c r="C29" s="44"/>
      <c r="D29" s="45"/>
      <c r="E29" s="45"/>
      <c r="F29" s="45"/>
      <c r="G29" s="45"/>
      <c r="H29" s="45"/>
      <c r="I29" s="45"/>
      <c r="J29" s="45"/>
    </row>
    <row r="30" spans="1:14" s="25" customFormat="1">
      <c r="A30" s="46"/>
      <c r="B30" s="47"/>
      <c r="C30" s="48"/>
      <c r="D30" s="49"/>
      <c r="E30" s="49"/>
      <c r="F30" s="49"/>
      <c r="G30" s="49"/>
      <c r="H30" s="49"/>
      <c r="I30" s="50"/>
      <c r="J30" s="50"/>
    </row>
    <row r="31" spans="1:14" s="25" customFormat="1" ht="12.75">
      <c r="A31" s="46"/>
      <c r="B31" s="46"/>
      <c r="C31" s="45"/>
      <c r="D31" s="45"/>
      <c r="E31" s="45"/>
      <c r="F31" s="45"/>
      <c r="G31" s="45"/>
      <c r="H31" s="45"/>
      <c r="I31" s="45"/>
      <c r="J31" s="45"/>
    </row>
    <row r="32" spans="1:14" s="23" customFormat="1" ht="12.75">
      <c r="A32" s="18"/>
      <c r="B32" s="18"/>
      <c r="C32" s="19"/>
      <c r="D32" s="20"/>
    </row>
    <row r="33" spans="1:4" s="23" customFormat="1" ht="12.75">
      <c r="A33" s="18"/>
      <c r="B33" s="18"/>
      <c r="C33" s="19"/>
      <c r="D33" s="20"/>
    </row>
    <row r="34" spans="1:4" s="23" customFormat="1" ht="12.75">
      <c r="A34" s="18"/>
      <c r="B34" s="18"/>
      <c r="C34" s="19"/>
      <c r="D34" s="20"/>
    </row>
    <row r="35" spans="1:4" s="23" customFormat="1" ht="12.75">
      <c r="A35" s="18"/>
      <c r="B35" s="18"/>
      <c r="C35" s="19"/>
      <c r="D35" s="20"/>
    </row>
  </sheetData>
  <mergeCells count="35">
    <mergeCell ref="M14:O14"/>
    <mergeCell ref="P14:Q14"/>
    <mergeCell ref="M15:Q15"/>
    <mergeCell ref="H3:J3"/>
    <mergeCell ref="A7:J7"/>
    <mergeCell ref="A10:J10"/>
    <mergeCell ref="A9:J9"/>
    <mergeCell ref="A11:J11"/>
    <mergeCell ref="A12:C12"/>
    <mergeCell ref="B26:D26"/>
    <mergeCell ref="E26:G26"/>
    <mergeCell ref="A17:F17"/>
    <mergeCell ref="H17:J17"/>
    <mergeCell ref="A15:B15"/>
    <mergeCell ref="C15:G15"/>
    <mergeCell ref="H15:J15"/>
    <mergeCell ref="A20:B20"/>
    <mergeCell ref="C20:G20"/>
    <mergeCell ref="H20:J20"/>
    <mergeCell ref="A24:J24"/>
    <mergeCell ref="B25:E25"/>
    <mergeCell ref="A19:G19"/>
    <mergeCell ref="H19:J19"/>
    <mergeCell ref="A16:B16"/>
    <mergeCell ref="C16:G16"/>
    <mergeCell ref="H16:J16"/>
    <mergeCell ref="A18:B18"/>
    <mergeCell ref="C18:G18"/>
    <mergeCell ref="H18:J18"/>
    <mergeCell ref="A13:B13"/>
    <mergeCell ref="C13:G13"/>
    <mergeCell ref="H13:J13"/>
    <mergeCell ref="A14:B14"/>
    <mergeCell ref="C14:G14"/>
    <mergeCell ref="H14:J14"/>
  </mergeCell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9DA5-C6A8-44C2-8435-E1D8713D6A6E}">
  <dimension ref="A1:R50"/>
  <sheetViews>
    <sheetView topLeftCell="A27" zoomScale="130" zoomScaleNormal="130" workbookViewId="0">
      <selection activeCell="A5" sqref="A5:K5"/>
    </sheetView>
  </sheetViews>
  <sheetFormatPr defaultColWidth="9.140625" defaultRowHeight="14.25"/>
  <cols>
    <col min="1" max="1" width="6" style="1" customWidth="1"/>
    <col min="2" max="2" width="8.42578125" style="1" customWidth="1"/>
    <col min="3" max="3" width="43.28515625" style="1" customWidth="1"/>
    <col min="4" max="4" width="4.85546875" style="1" customWidth="1"/>
    <col min="5" max="5" width="5.7109375" style="1" customWidth="1"/>
    <col min="6" max="6" width="8.85546875" style="1" customWidth="1"/>
    <col min="7" max="7" width="8.140625" style="1" customWidth="1"/>
    <col min="8" max="9" width="8.85546875" style="1" customWidth="1"/>
    <col min="10" max="10" width="8.28515625" style="1" customWidth="1"/>
    <col min="11" max="11" width="8.140625" style="1" customWidth="1"/>
    <col min="12" max="12" width="10.42578125" style="1" customWidth="1"/>
    <col min="13" max="14" width="9.140625" style="1"/>
    <col min="15" max="15" width="9.28515625" style="1" customWidth="1"/>
    <col min="16" max="16" width="8.85546875" style="1" customWidth="1"/>
    <col min="17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57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196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535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6" ht="15" thickBot="1">
      <c r="A8" s="379" t="s">
        <v>530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</row>
    <row r="10" spans="1:16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s="172" customFormat="1" ht="1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28">
        <v>6</v>
      </c>
      <c r="G11" s="128">
        <v>7</v>
      </c>
      <c r="H11" s="128">
        <v>8</v>
      </c>
      <c r="I11" s="128">
        <v>9</v>
      </c>
      <c r="J11" s="128">
        <v>10</v>
      </c>
      <c r="K11" s="128">
        <v>11</v>
      </c>
      <c r="L11" s="128">
        <v>12</v>
      </c>
      <c r="M11" s="128">
        <v>13</v>
      </c>
      <c r="N11" s="128">
        <v>14</v>
      </c>
      <c r="O11" s="128">
        <v>15</v>
      </c>
      <c r="P11" s="129">
        <v>16</v>
      </c>
    </row>
    <row r="12" spans="1:16">
      <c r="A12" s="157"/>
      <c r="B12" s="190" t="s">
        <v>197</v>
      </c>
      <c r="C12" s="197" t="s">
        <v>198</v>
      </c>
      <c r="D12" s="158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1"/>
    </row>
    <row r="13" spans="1:16" ht="25.5">
      <c r="A13" s="147">
        <v>1</v>
      </c>
      <c r="B13" s="10"/>
      <c r="C13" s="98" t="s">
        <v>199</v>
      </c>
      <c r="D13" s="10" t="s">
        <v>63</v>
      </c>
      <c r="E13" s="61">
        <v>88</v>
      </c>
      <c r="F13" s="66"/>
      <c r="G13" s="66"/>
      <c r="H13" s="72"/>
      <c r="I13" s="66"/>
      <c r="J13" s="67"/>
      <c r="K13" s="67"/>
      <c r="L13" s="11"/>
      <c r="M13" s="11"/>
      <c r="N13" s="11"/>
      <c r="O13" s="11"/>
      <c r="P13" s="152"/>
    </row>
    <row r="14" spans="1:16" ht="25.5">
      <c r="A14" s="147">
        <v>2</v>
      </c>
      <c r="B14" s="10"/>
      <c r="C14" s="98" t="s">
        <v>200</v>
      </c>
      <c r="D14" s="10" t="s">
        <v>63</v>
      </c>
      <c r="E14" s="61">
        <v>92</v>
      </c>
      <c r="F14" s="66"/>
      <c r="G14" s="66"/>
      <c r="H14" s="72"/>
      <c r="I14" s="66"/>
      <c r="J14" s="67"/>
      <c r="K14" s="67"/>
      <c r="L14" s="11"/>
      <c r="M14" s="11"/>
      <c r="N14" s="11"/>
      <c r="O14" s="11"/>
      <c r="P14" s="152"/>
    </row>
    <row r="15" spans="1:16" ht="25.5">
      <c r="A15" s="147">
        <v>3</v>
      </c>
      <c r="B15" s="10"/>
      <c r="C15" s="98" t="s">
        <v>201</v>
      </c>
      <c r="D15" s="10" t="s">
        <v>63</v>
      </c>
      <c r="E15" s="61">
        <v>58</v>
      </c>
      <c r="F15" s="66"/>
      <c r="G15" s="66"/>
      <c r="H15" s="72"/>
      <c r="I15" s="66"/>
      <c r="J15" s="67"/>
      <c r="K15" s="67"/>
      <c r="L15" s="11"/>
      <c r="M15" s="11"/>
      <c r="N15" s="11"/>
      <c r="O15" s="11"/>
      <c r="P15" s="152"/>
    </row>
    <row r="16" spans="1:16" ht="25.5">
      <c r="A16" s="147">
        <v>4</v>
      </c>
      <c r="B16" s="10"/>
      <c r="C16" s="98" t="s">
        <v>202</v>
      </c>
      <c r="D16" s="10" t="s">
        <v>63</v>
      </c>
      <c r="E16" s="61">
        <v>17</v>
      </c>
      <c r="F16" s="66"/>
      <c r="G16" s="66"/>
      <c r="H16" s="72"/>
      <c r="I16" s="66"/>
      <c r="J16" s="67"/>
      <c r="K16" s="67"/>
      <c r="L16" s="11"/>
      <c r="M16" s="11"/>
      <c r="N16" s="11"/>
      <c r="O16" s="11"/>
      <c r="P16" s="152"/>
    </row>
    <row r="17" spans="1:18" ht="15" customHeight="1">
      <c r="A17" s="147">
        <v>5</v>
      </c>
      <c r="B17" s="10"/>
      <c r="C17" s="98" t="s">
        <v>203</v>
      </c>
      <c r="D17" s="199" t="s">
        <v>63</v>
      </c>
      <c r="E17" s="289">
        <v>44</v>
      </c>
      <c r="F17" s="66"/>
      <c r="G17" s="66"/>
      <c r="H17" s="72"/>
      <c r="I17" s="66"/>
      <c r="J17" s="67"/>
      <c r="K17" s="67"/>
      <c r="L17" s="11"/>
      <c r="M17" s="11"/>
      <c r="N17" s="11"/>
      <c r="O17" s="11"/>
      <c r="P17" s="152"/>
    </row>
    <row r="18" spans="1:18" ht="15" customHeight="1">
      <c r="A18" s="147">
        <v>6</v>
      </c>
      <c r="B18" s="10"/>
      <c r="C18" s="200" t="s">
        <v>204</v>
      </c>
      <c r="D18" s="199" t="s">
        <v>63</v>
      </c>
      <c r="E18" s="289">
        <v>46</v>
      </c>
      <c r="F18" s="66"/>
      <c r="G18" s="66"/>
      <c r="H18" s="72"/>
      <c r="I18" s="66"/>
      <c r="J18" s="67"/>
      <c r="K18" s="67"/>
      <c r="L18" s="11"/>
      <c r="M18" s="11"/>
      <c r="N18" s="11"/>
      <c r="O18" s="11"/>
      <c r="P18" s="152"/>
    </row>
    <row r="19" spans="1:18" ht="15" customHeight="1">
      <c r="A19" s="147">
        <v>7</v>
      </c>
      <c r="B19" s="10"/>
      <c r="C19" s="200" t="s">
        <v>205</v>
      </c>
      <c r="D19" s="199" t="s">
        <v>63</v>
      </c>
      <c r="E19" s="289">
        <v>29</v>
      </c>
      <c r="F19" s="66"/>
      <c r="G19" s="66"/>
      <c r="H19" s="72"/>
      <c r="I19" s="66"/>
      <c r="J19" s="67"/>
      <c r="K19" s="67"/>
      <c r="L19" s="11"/>
      <c r="M19" s="11"/>
      <c r="N19" s="11"/>
      <c r="O19" s="11"/>
      <c r="P19" s="152"/>
    </row>
    <row r="20" spans="1:18" ht="15" customHeight="1">
      <c r="A20" s="147">
        <v>8</v>
      </c>
      <c r="B20" s="10"/>
      <c r="C20" s="200" t="s">
        <v>206</v>
      </c>
      <c r="D20" s="199" t="s">
        <v>63</v>
      </c>
      <c r="E20" s="289">
        <v>17</v>
      </c>
      <c r="F20" s="66"/>
      <c r="G20" s="66"/>
      <c r="H20" s="72"/>
      <c r="I20" s="66"/>
      <c r="J20" s="67"/>
      <c r="K20" s="67"/>
      <c r="L20" s="11"/>
      <c r="M20" s="11"/>
      <c r="N20" s="11"/>
      <c r="O20" s="11"/>
      <c r="P20" s="152"/>
      <c r="R20" s="57"/>
    </row>
    <row r="21" spans="1:18">
      <c r="A21" s="147">
        <v>9</v>
      </c>
      <c r="B21" s="10"/>
      <c r="C21" s="98" t="s">
        <v>211</v>
      </c>
      <c r="D21" s="199" t="s">
        <v>63</v>
      </c>
      <c r="E21" s="289">
        <v>44</v>
      </c>
      <c r="F21" s="66"/>
      <c r="G21" s="66"/>
      <c r="H21" s="72"/>
      <c r="I21" s="66"/>
      <c r="J21" s="67"/>
      <c r="K21" s="67"/>
      <c r="L21" s="11"/>
      <c r="M21" s="11"/>
      <c r="N21" s="11"/>
      <c r="O21" s="11"/>
      <c r="P21" s="152"/>
    </row>
    <row r="22" spans="1:18">
      <c r="A22" s="147">
        <v>10</v>
      </c>
      <c r="B22" s="10"/>
      <c r="C22" s="200" t="s">
        <v>212</v>
      </c>
      <c r="D22" s="199" t="s">
        <v>63</v>
      </c>
      <c r="E22" s="289">
        <v>46</v>
      </c>
      <c r="F22" s="66"/>
      <c r="G22" s="66"/>
      <c r="H22" s="72"/>
      <c r="I22" s="66"/>
      <c r="J22" s="67"/>
      <c r="K22" s="67"/>
      <c r="L22" s="11"/>
      <c r="M22" s="11"/>
      <c r="N22" s="11"/>
      <c r="O22" s="11"/>
      <c r="P22" s="152"/>
    </row>
    <row r="23" spans="1:18">
      <c r="A23" s="147">
        <v>11</v>
      </c>
      <c r="B23" s="10"/>
      <c r="C23" s="200" t="s">
        <v>223</v>
      </c>
      <c r="D23" s="199" t="s">
        <v>63</v>
      </c>
      <c r="E23" s="289">
        <v>29</v>
      </c>
      <c r="F23" s="66"/>
      <c r="G23" s="66"/>
      <c r="H23" s="72"/>
      <c r="I23" s="66"/>
      <c r="J23" s="67"/>
      <c r="K23" s="67"/>
      <c r="L23" s="11"/>
      <c r="M23" s="11"/>
      <c r="N23" s="11"/>
      <c r="O23" s="11"/>
      <c r="P23" s="152"/>
    </row>
    <row r="24" spans="1:18">
      <c r="A24" s="147">
        <v>12</v>
      </c>
      <c r="B24" s="10"/>
      <c r="C24" s="98" t="s">
        <v>207</v>
      </c>
      <c r="D24" s="199" t="s">
        <v>44</v>
      </c>
      <c r="E24" s="199">
        <v>28</v>
      </c>
      <c r="F24" s="66"/>
      <c r="G24" s="66"/>
      <c r="H24" s="72"/>
      <c r="I24" s="66"/>
      <c r="J24" s="67"/>
      <c r="K24" s="182"/>
      <c r="L24" s="11"/>
      <c r="M24" s="11"/>
      <c r="N24" s="11"/>
      <c r="O24" s="11"/>
      <c r="P24" s="152"/>
    </row>
    <row r="25" spans="1:18">
      <c r="A25" s="147">
        <v>13</v>
      </c>
      <c r="B25" s="10"/>
      <c r="C25" s="83" t="s">
        <v>208</v>
      </c>
      <c r="D25" s="199" t="s">
        <v>44</v>
      </c>
      <c r="E25" s="199">
        <v>11</v>
      </c>
      <c r="F25" s="66"/>
      <c r="G25" s="66"/>
      <c r="H25" s="72"/>
      <c r="I25" s="66"/>
      <c r="J25" s="66"/>
      <c r="K25" s="182"/>
      <c r="L25" s="180"/>
      <c r="M25" s="198"/>
      <c r="N25" s="198"/>
      <c r="O25" s="198"/>
      <c r="P25" s="152"/>
    </row>
    <row r="26" spans="1:18">
      <c r="A26" s="147">
        <v>14</v>
      </c>
      <c r="B26" s="10"/>
      <c r="C26" s="83" t="s">
        <v>209</v>
      </c>
      <c r="D26" s="199" t="s">
        <v>44</v>
      </c>
      <c r="E26" s="199">
        <v>4</v>
      </c>
      <c r="F26" s="66"/>
      <c r="G26" s="66"/>
      <c r="H26" s="72"/>
      <c r="I26" s="66"/>
      <c r="J26" s="66"/>
      <c r="K26" s="182"/>
      <c r="L26" s="180"/>
      <c r="M26" s="198"/>
      <c r="N26" s="198"/>
      <c r="O26" s="198"/>
      <c r="P26" s="152"/>
    </row>
    <row r="27" spans="1:18">
      <c r="A27" s="147">
        <v>15</v>
      </c>
      <c r="B27" s="10"/>
      <c r="C27" s="83" t="s">
        <v>210</v>
      </c>
      <c r="D27" s="199" t="s">
        <v>44</v>
      </c>
      <c r="E27" s="199">
        <v>2</v>
      </c>
      <c r="F27" s="66"/>
      <c r="G27" s="66"/>
      <c r="H27" s="72"/>
      <c r="I27" s="66"/>
      <c r="J27" s="66"/>
      <c r="K27" s="182"/>
      <c r="L27" s="180"/>
      <c r="M27" s="198"/>
      <c r="N27" s="198"/>
      <c r="O27" s="198"/>
      <c r="P27" s="152"/>
    </row>
    <row r="28" spans="1:18">
      <c r="A28" s="147">
        <v>16</v>
      </c>
      <c r="B28" s="10"/>
      <c r="C28" s="83" t="s">
        <v>214</v>
      </c>
      <c r="D28" s="201" t="s">
        <v>44</v>
      </c>
      <c r="E28" s="199">
        <v>10</v>
      </c>
      <c r="F28" s="66"/>
      <c r="G28" s="66"/>
      <c r="H28" s="66"/>
      <c r="I28" s="66"/>
      <c r="J28" s="66"/>
      <c r="K28" s="182"/>
      <c r="L28" s="180"/>
      <c r="M28" s="198"/>
      <c r="N28" s="198"/>
      <c r="O28" s="198"/>
      <c r="P28" s="152"/>
    </row>
    <row r="29" spans="1:18">
      <c r="A29" s="147">
        <v>17</v>
      </c>
      <c r="B29" s="10"/>
      <c r="C29" s="83" t="s">
        <v>215</v>
      </c>
      <c r="D29" s="201" t="s">
        <v>44</v>
      </c>
      <c r="E29" s="199">
        <v>2</v>
      </c>
      <c r="F29" s="66"/>
      <c r="G29" s="66"/>
      <c r="H29" s="66"/>
      <c r="I29" s="66"/>
      <c r="J29" s="66"/>
      <c r="K29" s="182"/>
      <c r="L29" s="180"/>
      <c r="M29" s="198"/>
      <c r="N29" s="198"/>
      <c r="O29" s="198"/>
      <c r="P29" s="152"/>
    </row>
    <row r="30" spans="1:18">
      <c r="A30" s="147">
        <v>18</v>
      </c>
      <c r="B30" s="10"/>
      <c r="C30" s="83" t="s">
        <v>213</v>
      </c>
      <c r="D30" s="201" t="s">
        <v>44</v>
      </c>
      <c r="E30" s="199">
        <v>6</v>
      </c>
      <c r="F30" s="66"/>
      <c r="G30" s="66"/>
      <c r="H30" s="66"/>
      <c r="I30" s="66"/>
      <c r="J30" s="66"/>
      <c r="K30" s="182"/>
      <c r="L30" s="180"/>
      <c r="M30" s="198"/>
      <c r="N30" s="198"/>
      <c r="O30" s="198"/>
      <c r="P30" s="152"/>
    </row>
    <row r="31" spans="1:18">
      <c r="A31" s="147">
        <v>19</v>
      </c>
      <c r="B31" s="10"/>
      <c r="C31" s="200" t="s">
        <v>216</v>
      </c>
      <c r="D31" s="201" t="s">
        <v>44</v>
      </c>
      <c r="E31" s="199">
        <v>1</v>
      </c>
      <c r="F31" s="66"/>
      <c r="G31" s="66"/>
      <c r="H31" s="72"/>
      <c r="I31" s="66"/>
      <c r="J31" s="67"/>
      <c r="K31" s="67"/>
      <c r="L31" s="11"/>
      <c r="M31" s="11"/>
      <c r="N31" s="11"/>
      <c r="O31" s="11"/>
      <c r="P31" s="152"/>
    </row>
    <row r="32" spans="1:18">
      <c r="A32" s="147"/>
      <c r="B32" s="64" t="s">
        <v>294</v>
      </c>
      <c r="C32" s="68" t="s">
        <v>217</v>
      </c>
      <c r="D32" s="10"/>
      <c r="E32" s="74"/>
      <c r="F32" s="82"/>
      <c r="G32" s="66"/>
      <c r="H32" s="72"/>
      <c r="I32" s="66"/>
      <c r="J32" s="67"/>
      <c r="K32" s="67"/>
      <c r="L32" s="11"/>
      <c r="M32" s="11"/>
      <c r="N32" s="11"/>
      <c r="O32" s="11"/>
      <c r="P32" s="152"/>
    </row>
    <row r="33" spans="1:16" ht="25.5">
      <c r="A33" s="147">
        <v>20</v>
      </c>
      <c r="B33" s="10"/>
      <c r="C33" s="202" t="s">
        <v>218</v>
      </c>
      <c r="D33" s="10" t="s">
        <v>63</v>
      </c>
      <c r="E33" s="61">
        <v>50</v>
      </c>
      <c r="F33" s="66"/>
      <c r="G33" s="66"/>
      <c r="H33" s="72"/>
      <c r="I33" s="181"/>
      <c r="J33" s="67"/>
      <c r="K33" s="67"/>
      <c r="L33" s="11"/>
      <c r="M33" s="11"/>
      <c r="N33" s="11"/>
      <c r="O33" s="11"/>
      <c r="P33" s="152"/>
    </row>
    <row r="34" spans="1:16" ht="25.5">
      <c r="A34" s="147">
        <v>21</v>
      </c>
      <c r="B34" s="10"/>
      <c r="C34" s="202" t="s">
        <v>219</v>
      </c>
      <c r="D34" s="10" t="s">
        <v>63</v>
      </c>
      <c r="E34" s="61">
        <v>88</v>
      </c>
      <c r="F34" s="66"/>
      <c r="G34" s="66"/>
      <c r="H34" s="72"/>
      <c r="I34" s="181"/>
      <c r="J34" s="67"/>
      <c r="K34" s="67"/>
      <c r="L34" s="11"/>
      <c r="M34" s="11"/>
      <c r="N34" s="11"/>
      <c r="O34" s="11"/>
      <c r="P34" s="152"/>
    </row>
    <row r="35" spans="1:16">
      <c r="A35" s="147">
        <v>22</v>
      </c>
      <c r="B35" s="10"/>
      <c r="C35" s="174" t="s">
        <v>220</v>
      </c>
      <c r="D35" s="10" t="s">
        <v>44</v>
      </c>
      <c r="E35" s="10">
        <v>2</v>
      </c>
      <c r="F35" s="66"/>
      <c r="G35" s="66"/>
      <c r="H35" s="72"/>
      <c r="I35" s="181"/>
      <c r="J35" s="67"/>
      <c r="K35" s="67"/>
      <c r="L35" s="11"/>
      <c r="M35" s="11"/>
      <c r="N35" s="11"/>
      <c r="O35" s="11"/>
      <c r="P35" s="152"/>
    </row>
    <row r="36" spans="1:16">
      <c r="A36" s="147">
        <v>23</v>
      </c>
      <c r="B36" s="10"/>
      <c r="C36" s="83" t="s">
        <v>224</v>
      </c>
      <c r="D36" s="10" t="s">
        <v>44</v>
      </c>
      <c r="E36" s="10">
        <v>12</v>
      </c>
      <c r="F36" s="66"/>
      <c r="G36" s="66"/>
      <c r="H36" s="72"/>
      <c r="I36" s="181"/>
      <c r="J36" s="67"/>
      <c r="K36" s="182"/>
      <c r="L36" s="11"/>
      <c r="M36" s="11"/>
      <c r="N36" s="11"/>
      <c r="O36" s="11"/>
      <c r="P36" s="152"/>
    </row>
    <row r="37" spans="1:16">
      <c r="A37" s="147">
        <v>24</v>
      </c>
      <c r="B37" s="10"/>
      <c r="C37" s="83" t="s">
        <v>226</v>
      </c>
      <c r="D37" s="10" t="s">
        <v>44</v>
      </c>
      <c r="E37" s="10">
        <v>6</v>
      </c>
      <c r="F37" s="66"/>
      <c r="G37" s="66"/>
      <c r="H37" s="72"/>
      <c r="I37" s="181"/>
      <c r="J37" s="67"/>
      <c r="K37" s="182"/>
      <c r="L37" s="11"/>
      <c r="M37" s="11"/>
      <c r="N37" s="11"/>
      <c r="O37" s="11"/>
      <c r="P37" s="152"/>
    </row>
    <row r="38" spans="1:16" ht="25.5" customHeight="1">
      <c r="A38" s="147">
        <v>25</v>
      </c>
      <c r="B38" s="10"/>
      <c r="C38" s="83" t="s">
        <v>225</v>
      </c>
      <c r="D38" s="10" t="s">
        <v>44</v>
      </c>
      <c r="E38" s="10">
        <v>10</v>
      </c>
      <c r="F38" s="66"/>
      <c r="G38" s="66"/>
      <c r="H38" s="72"/>
      <c r="I38" s="181"/>
      <c r="J38" s="67"/>
      <c r="K38" s="182"/>
      <c r="L38" s="11"/>
      <c r="M38" s="11"/>
      <c r="N38" s="11"/>
      <c r="O38" s="11"/>
      <c r="P38" s="152"/>
    </row>
    <row r="39" spans="1:16" ht="25.5">
      <c r="A39" s="147">
        <v>26</v>
      </c>
      <c r="B39" s="10"/>
      <c r="C39" s="174" t="s">
        <v>222</v>
      </c>
      <c r="D39" s="10" t="s">
        <v>44</v>
      </c>
      <c r="E39" s="10">
        <v>2</v>
      </c>
      <c r="F39" s="66"/>
      <c r="G39" s="66"/>
      <c r="H39" s="72"/>
      <c r="I39" s="181"/>
      <c r="J39" s="67"/>
      <c r="K39" s="182"/>
      <c r="L39" s="11"/>
      <c r="M39" s="11"/>
      <c r="N39" s="11"/>
      <c r="O39" s="11"/>
      <c r="P39" s="152"/>
    </row>
    <row r="40" spans="1:16">
      <c r="A40" s="147">
        <v>27</v>
      </c>
      <c r="B40" s="10"/>
      <c r="C40" s="174" t="s">
        <v>221</v>
      </c>
      <c r="D40" s="10" t="s">
        <v>44</v>
      </c>
      <c r="E40" s="10">
        <v>2</v>
      </c>
      <c r="F40" s="66"/>
      <c r="G40" s="66"/>
      <c r="H40" s="72"/>
      <c r="I40" s="181"/>
      <c r="J40" s="67"/>
      <c r="K40" s="182"/>
      <c r="L40" s="11"/>
      <c r="M40" s="11"/>
      <c r="N40" s="11"/>
      <c r="O40" s="11"/>
      <c r="P40" s="152"/>
    </row>
    <row r="41" spans="1:16">
      <c r="A41" s="147">
        <v>28</v>
      </c>
      <c r="B41" s="10"/>
      <c r="C41" s="174" t="s">
        <v>227</v>
      </c>
      <c r="D41" s="10" t="s">
        <v>44</v>
      </c>
      <c r="E41" s="10">
        <v>2</v>
      </c>
      <c r="F41" s="66"/>
      <c r="G41" s="66"/>
      <c r="H41" s="72"/>
      <c r="I41" s="181"/>
      <c r="J41" s="67"/>
      <c r="K41" s="182"/>
      <c r="L41" s="11"/>
      <c r="M41" s="11"/>
      <c r="N41" s="11"/>
      <c r="O41" s="11"/>
      <c r="P41" s="152"/>
    </row>
    <row r="42" spans="1:16" ht="15" thickBot="1">
      <c r="A42" s="126"/>
      <c r="B42" s="127"/>
      <c r="C42" s="390" t="s">
        <v>97</v>
      </c>
      <c r="D42" s="390"/>
      <c r="E42" s="390"/>
      <c r="F42" s="390"/>
      <c r="G42" s="390"/>
      <c r="H42" s="390"/>
      <c r="I42" s="390"/>
      <c r="J42" s="390"/>
      <c r="K42" s="390"/>
      <c r="L42" s="153">
        <f>SUM(L13:L41)</f>
        <v>0</v>
      </c>
      <c r="M42" s="153">
        <f>SUM(M13:M41)</f>
        <v>0</v>
      </c>
      <c r="N42" s="153">
        <f>SUM(N13:N41)</f>
        <v>0</v>
      </c>
      <c r="O42" s="153">
        <f>SUM(O13:O41)</f>
        <v>0</v>
      </c>
      <c r="P42" s="154">
        <f>SUM(P13:P41)</f>
        <v>0</v>
      </c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59"/>
    </row>
    <row r="44" spans="1:16">
      <c r="A44" s="6"/>
      <c r="B44" s="6"/>
      <c r="C44" s="5" t="s">
        <v>21</v>
      </c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4"/>
    </row>
    <row r="45" spans="1:16">
      <c r="A45" s="5"/>
      <c r="B45" s="5"/>
      <c r="C45" s="3"/>
      <c r="D45" s="392" t="s">
        <v>22</v>
      </c>
      <c r="E45" s="392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P45" s="4"/>
    </row>
    <row r="46" spans="1:16">
      <c r="A46" s="3"/>
      <c r="B46" s="3"/>
      <c r="C46" s="5" t="s">
        <v>23</v>
      </c>
      <c r="D46" s="354"/>
      <c r="E46" s="354"/>
      <c r="F46" s="354"/>
      <c r="G46" s="3"/>
      <c r="H46" s="3"/>
      <c r="I46" s="3"/>
      <c r="J46" s="3"/>
      <c r="K46" s="3"/>
      <c r="L46" s="3"/>
      <c r="M46" s="3"/>
      <c r="N46" s="3"/>
      <c r="O46" s="3"/>
      <c r="P46" s="4"/>
    </row>
    <row r="47" spans="1:16">
      <c r="A47" s="3"/>
      <c r="B47" s="3"/>
      <c r="C47" s="5"/>
      <c r="D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/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ht="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</sheetData>
  <mergeCells count="22">
    <mergeCell ref="D46:F46"/>
    <mergeCell ref="L1:O1"/>
    <mergeCell ref="A2:C2"/>
    <mergeCell ref="L2:O2"/>
    <mergeCell ref="A3:D3"/>
    <mergeCell ref="L3:O3"/>
    <mergeCell ref="A5:K5"/>
    <mergeCell ref="A7:H7"/>
    <mergeCell ref="L7:N7"/>
    <mergeCell ref="O7:P7"/>
    <mergeCell ref="A6:D6"/>
    <mergeCell ref="A9:A10"/>
    <mergeCell ref="B9:B10"/>
    <mergeCell ref="C9:C10"/>
    <mergeCell ref="D9:D10"/>
    <mergeCell ref="A8:J8"/>
    <mergeCell ref="L9:P9"/>
    <mergeCell ref="D44:O44"/>
    <mergeCell ref="D45:O45"/>
    <mergeCell ref="C42:K42"/>
    <mergeCell ref="F9:K9"/>
    <mergeCell ref="E9:E10"/>
  </mergeCells>
  <conditionalFormatting sqref="D13:D42">
    <cfRule type="cellIs" dxfId="37" priority="1" stopIfTrue="1" operator="equal">
      <formula>0</formula>
    </cfRule>
    <cfRule type="expression" dxfId="36" priority="2" stopIfTrue="1">
      <formula>#N/A</formula>
    </cfRule>
  </conditionalFormatting>
  <hyperlinks>
    <hyperlink ref="L1" r:id="rId1" tooltip="Atvērt citā formātā" display="https://likumi.lv/wwwraksti/2017/103/BILDES/N_239/P5.DOCX" xr:uid="{E4EE7F85-2412-42DA-B201-FBE14DDFC57D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B91A-6991-48FC-AAFE-E367000C7D93}">
  <dimension ref="A1:R54"/>
  <sheetViews>
    <sheetView topLeftCell="A25" zoomScale="130" zoomScaleNormal="130" workbookViewId="0">
      <selection activeCell="A5" sqref="A5:K5"/>
    </sheetView>
  </sheetViews>
  <sheetFormatPr defaultColWidth="9.140625" defaultRowHeight="14.25"/>
  <cols>
    <col min="1" max="1" width="6" style="1" customWidth="1"/>
    <col min="2" max="2" width="8.85546875" style="1" customWidth="1"/>
    <col min="3" max="3" width="43.28515625" style="1" customWidth="1"/>
    <col min="4" max="4" width="5.42578125" style="1" customWidth="1"/>
    <col min="5" max="6" width="7.28515625" style="1" customWidth="1"/>
    <col min="7" max="9" width="8.85546875" style="1" customWidth="1"/>
    <col min="10" max="10" width="8.28515625" style="1" customWidth="1"/>
    <col min="11" max="11" width="8" style="1" customWidth="1"/>
    <col min="12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58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325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535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6" ht="15" thickBot="1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</row>
    <row r="10" spans="1:16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ht="1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28">
        <v>6</v>
      </c>
      <c r="G11" s="128">
        <v>7</v>
      </c>
      <c r="H11" s="128">
        <v>8</v>
      </c>
      <c r="I11" s="128">
        <v>9</v>
      </c>
      <c r="J11" s="128">
        <v>10</v>
      </c>
      <c r="K11" s="128">
        <v>11</v>
      </c>
      <c r="L11" s="128">
        <v>12</v>
      </c>
      <c r="M11" s="128">
        <v>13</v>
      </c>
      <c r="N11" s="128">
        <v>14</v>
      </c>
      <c r="O11" s="128">
        <v>15</v>
      </c>
      <c r="P11" s="129">
        <v>16</v>
      </c>
    </row>
    <row r="12" spans="1:16" ht="20.25" customHeight="1">
      <c r="A12" s="138"/>
      <c r="B12" s="190" t="s">
        <v>355</v>
      </c>
      <c r="C12" s="158" t="s">
        <v>354</v>
      </c>
      <c r="D12" s="141"/>
      <c r="E12" s="141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60"/>
    </row>
    <row r="13" spans="1:16">
      <c r="A13" s="255"/>
      <c r="B13" s="64"/>
      <c r="C13" s="83" t="s">
        <v>353</v>
      </c>
      <c r="D13" s="222" t="s">
        <v>44</v>
      </c>
      <c r="E13" s="288">
        <v>1</v>
      </c>
      <c r="F13" s="120"/>
      <c r="G13" s="71"/>
      <c r="H13" s="211"/>
      <c r="I13" s="224"/>
      <c r="J13" s="67"/>
      <c r="K13" s="211"/>
      <c r="L13" s="211"/>
      <c r="M13" s="211"/>
      <c r="N13" s="211"/>
      <c r="O13" s="211"/>
      <c r="P13" s="263"/>
    </row>
    <row r="14" spans="1:16">
      <c r="A14" s="147">
        <v>1</v>
      </c>
      <c r="B14" s="10"/>
      <c r="C14" s="83" t="s">
        <v>328</v>
      </c>
      <c r="D14" s="222" t="s">
        <v>44</v>
      </c>
      <c r="E14" s="288">
        <v>1</v>
      </c>
      <c r="F14" s="120"/>
      <c r="G14" s="71"/>
      <c r="H14" s="211"/>
      <c r="I14" s="224"/>
      <c r="J14" s="82"/>
      <c r="K14" s="211"/>
      <c r="L14" s="211"/>
      <c r="M14" s="211"/>
      <c r="N14" s="211"/>
      <c r="O14" s="211"/>
      <c r="P14" s="263"/>
    </row>
    <row r="15" spans="1:16">
      <c r="A15" s="147">
        <v>3</v>
      </c>
      <c r="B15" s="10"/>
      <c r="C15" s="83" t="s">
        <v>329</v>
      </c>
      <c r="D15" s="222" t="s">
        <v>44</v>
      </c>
      <c r="E15" s="288">
        <v>1</v>
      </c>
      <c r="F15" s="120"/>
      <c r="G15" s="71"/>
      <c r="H15" s="211"/>
      <c r="I15" s="224"/>
      <c r="J15" s="82"/>
      <c r="K15" s="211"/>
      <c r="L15" s="211"/>
      <c r="M15" s="211"/>
      <c r="N15" s="211"/>
      <c r="O15" s="211"/>
      <c r="P15" s="263"/>
    </row>
    <row r="16" spans="1:16" ht="14.25" customHeight="1">
      <c r="A16" s="147">
        <v>4</v>
      </c>
      <c r="B16" s="10"/>
      <c r="C16" s="83" t="s">
        <v>330</v>
      </c>
      <c r="D16" s="222" t="s">
        <v>73</v>
      </c>
      <c r="E16" s="288">
        <v>4</v>
      </c>
      <c r="F16" s="82"/>
      <c r="G16" s="71"/>
      <c r="H16" s="211"/>
      <c r="I16" s="224"/>
      <c r="J16" s="67"/>
      <c r="K16" s="211"/>
      <c r="L16" s="211"/>
      <c r="M16" s="211"/>
      <c r="N16" s="211"/>
      <c r="O16" s="211"/>
      <c r="P16" s="263"/>
    </row>
    <row r="17" spans="1:16" ht="25.5">
      <c r="A17" s="147">
        <v>5</v>
      </c>
      <c r="B17" s="10"/>
      <c r="C17" s="83" t="s">
        <v>331</v>
      </c>
      <c r="D17" s="10" t="s">
        <v>73</v>
      </c>
      <c r="E17" s="288">
        <v>1</v>
      </c>
      <c r="F17" s="11"/>
      <c r="G17" s="71"/>
      <c r="H17" s="182"/>
      <c r="I17" s="224"/>
      <c r="J17" s="82"/>
      <c r="K17" s="211"/>
      <c r="L17" s="211"/>
      <c r="M17" s="211"/>
      <c r="N17" s="211"/>
      <c r="O17" s="211"/>
      <c r="P17" s="263"/>
    </row>
    <row r="18" spans="1:16" ht="14.25" customHeight="1">
      <c r="A18" s="147"/>
      <c r="B18" s="10"/>
      <c r="C18" s="83" t="s">
        <v>332</v>
      </c>
      <c r="D18" s="10" t="s">
        <v>73</v>
      </c>
      <c r="E18" s="288">
        <v>1</v>
      </c>
      <c r="F18" s="11"/>
      <c r="G18" s="71"/>
      <c r="H18" s="182"/>
      <c r="I18" s="224"/>
      <c r="J18" s="67"/>
      <c r="K18" s="211"/>
      <c r="L18" s="211"/>
      <c r="M18" s="211"/>
      <c r="N18" s="211"/>
      <c r="O18" s="211"/>
      <c r="P18" s="263"/>
    </row>
    <row r="19" spans="1:16" ht="25.5">
      <c r="A19" s="255"/>
      <c r="B19" s="64"/>
      <c r="C19" s="83" t="s">
        <v>333</v>
      </c>
      <c r="D19" s="10" t="s">
        <v>73</v>
      </c>
      <c r="E19" s="288">
        <v>1</v>
      </c>
      <c r="F19" s="120"/>
      <c r="G19" s="71"/>
      <c r="H19" s="182"/>
      <c r="I19" s="224"/>
      <c r="J19" s="82"/>
      <c r="K19" s="211"/>
      <c r="L19" s="211"/>
      <c r="M19" s="211"/>
      <c r="N19" s="211"/>
      <c r="O19" s="211"/>
      <c r="P19" s="263"/>
    </row>
    <row r="20" spans="1:16">
      <c r="A20" s="147">
        <v>1</v>
      </c>
      <c r="B20" s="10"/>
      <c r="C20" s="83" t="s">
        <v>334</v>
      </c>
      <c r="D20" s="10" t="s">
        <v>44</v>
      </c>
      <c r="E20" s="288">
        <v>1</v>
      </c>
      <c r="F20" s="11"/>
      <c r="G20" s="71"/>
      <c r="H20" s="182"/>
      <c r="I20" s="224"/>
      <c r="J20" s="67"/>
      <c r="K20" s="211"/>
      <c r="L20" s="211"/>
      <c r="M20" s="211"/>
      <c r="N20" s="211"/>
      <c r="O20" s="211"/>
      <c r="P20" s="263"/>
    </row>
    <row r="21" spans="1:16">
      <c r="A21" s="147">
        <v>2</v>
      </c>
      <c r="B21" s="10"/>
      <c r="C21" s="83" t="s">
        <v>335</v>
      </c>
      <c r="D21" s="10" t="s">
        <v>44</v>
      </c>
      <c r="E21" s="288">
        <v>1</v>
      </c>
      <c r="F21" s="11"/>
      <c r="G21" s="71"/>
      <c r="H21" s="182"/>
      <c r="I21" s="224"/>
      <c r="J21" s="82"/>
      <c r="K21" s="211"/>
      <c r="L21" s="211"/>
      <c r="M21" s="211"/>
      <c r="N21" s="211"/>
      <c r="O21" s="211"/>
      <c r="P21" s="263"/>
    </row>
    <row r="22" spans="1:16" ht="26.25" customHeight="1">
      <c r="A22" s="147">
        <v>3</v>
      </c>
      <c r="B22" s="10"/>
      <c r="C22" s="83" t="s">
        <v>336</v>
      </c>
      <c r="D22" s="222" t="s">
        <v>73</v>
      </c>
      <c r="E22" s="288">
        <v>1</v>
      </c>
      <c r="F22" s="11"/>
      <c r="G22" s="71"/>
      <c r="H22" s="182"/>
      <c r="I22" s="224"/>
      <c r="J22" s="67"/>
      <c r="K22" s="211"/>
      <c r="L22" s="211"/>
      <c r="M22" s="211"/>
      <c r="N22" s="211"/>
      <c r="O22" s="211"/>
      <c r="P22" s="263"/>
    </row>
    <row r="23" spans="1:16" ht="15" customHeight="1">
      <c r="A23" s="147"/>
      <c r="B23" s="64" t="s">
        <v>355</v>
      </c>
      <c r="C23" s="225" t="s">
        <v>351</v>
      </c>
      <c r="D23" s="222"/>
      <c r="E23" s="223"/>
      <c r="F23" s="11"/>
      <c r="G23" s="71"/>
      <c r="H23" s="182"/>
      <c r="I23" s="224"/>
      <c r="J23" s="82"/>
      <c r="K23" s="211"/>
      <c r="L23" s="211"/>
      <c r="M23" s="211"/>
      <c r="N23" s="211"/>
      <c r="O23" s="211"/>
      <c r="P23" s="263"/>
    </row>
    <row r="24" spans="1:16" ht="14.25" customHeight="1">
      <c r="A24" s="255"/>
      <c r="B24" s="62"/>
      <c r="C24" s="83" t="s">
        <v>337</v>
      </c>
      <c r="D24" s="222" t="s">
        <v>63</v>
      </c>
      <c r="E24" s="228">
        <v>200</v>
      </c>
      <c r="F24" s="120"/>
      <c r="G24" s="71"/>
      <c r="H24" s="182"/>
      <c r="I24" s="224"/>
      <c r="J24" s="67"/>
      <c r="K24" s="211"/>
      <c r="L24" s="211"/>
      <c r="M24" s="211"/>
      <c r="N24" s="211"/>
      <c r="O24" s="211"/>
      <c r="P24" s="263"/>
    </row>
    <row r="25" spans="1:16" ht="14.25" customHeight="1">
      <c r="A25" s="147">
        <v>1</v>
      </c>
      <c r="B25" s="10"/>
      <c r="C25" s="83" t="s">
        <v>338</v>
      </c>
      <c r="D25" s="222" t="s">
        <v>63</v>
      </c>
      <c r="E25" s="226">
        <v>251</v>
      </c>
      <c r="F25" s="82"/>
      <c r="G25" s="71"/>
      <c r="H25" s="182"/>
      <c r="I25" s="224"/>
      <c r="J25" s="82"/>
      <c r="K25" s="211"/>
      <c r="L25" s="211"/>
      <c r="M25" s="211"/>
      <c r="N25" s="211"/>
      <c r="O25" s="211"/>
      <c r="P25" s="263"/>
    </row>
    <row r="26" spans="1:16" ht="14.25" customHeight="1">
      <c r="A26" s="147">
        <v>2</v>
      </c>
      <c r="B26" s="10"/>
      <c r="C26" s="83" t="s">
        <v>339</v>
      </c>
      <c r="D26" s="222" t="s">
        <v>63</v>
      </c>
      <c r="E26" s="61">
        <v>125</v>
      </c>
      <c r="F26" s="82"/>
      <c r="G26" s="71"/>
      <c r="H26" s="182"/>
      <c r="I26" s="224"/>
      <c r="J26" s="67"/>
      <c r="K26" s="211"/>
      <c r="L26" s="211"/>
      <c r="M26" s="211"/>
      <c r="N26" s="211"/>
      <c r="O26" s="211"/>
      <c r="P26" s="263"/>
    </row>
    <row r="27" spans="1:16" ht="14.25" customHeight="1">
      <c r="A27" s="147">
        <v>3</v>
      </c>
      <c r="B27" s="10"/>
      <c r="C27" s="83" t="s">
        <v>340</v>
      </c>
      <c r="D27" s="222" t="s">
        <v>73</v>
      </c>
      <c r="E27" s="286">
        <v>3</v>
      </c>
      <c r="F27" s="82"/>
      <c r="G27" s="71"/>
      <c r="H27" s="182"/>
      <c r="I27" s="224"/>
      <c r="J27" s="82"/>
      <c r="K27" s="211"/>
      <c r="L27" s="211"/>
      <c r="M27" s="211"/>
      <c r="N27" s="211"/>
      <c r="O27" s="211"/>
      <c r="P27" s="263"/>
    </row>
    <row r="28" spans="1:16">
      <c r="A28" s="147">
        <v>4</v>
      </c>
      <c r="B28" s="10"/>
      <c r="C28" s="83" t="s">
        <v>341</v>
      </c>
      <c r="D28" s="222" t="s">
        <v>63</v>
      </c>
      <c r="E28" s="61">
        <v>200</v>
      </c>
      <c r="F28" s="82"/>
      <c r="G28" s="71"/>
      <c r="H28" s="182"/>
      <c r="I28" s="224"/>
      <c r="J28" s="67"/>
      <c r="K28" s="211"/>
      <c r="L28" s="211"/>
      <c r="M28" s="211"/>
      <c r="N28" s="211"/>
      <c r="O28" s="211"/>
      <c r="P28" s="263"/>
    </row>
    <row r="29" spans="1:16">
      <c r="A29" s="147">
        <v>5</v>
      </c>
      <c r="B29" s="10"/>
      <c r="C29" s="83" t="s">
        <v>341</v>
      </c>
      <c r="D29" s="222" t="s">
        <v>63</v>
      </c>
      <c r="E29" s="61">
        <v>251</v>
      </c>
      <c r="F29" s="82"/>
      <c r="G29" s="71"/>
      <c r="H29" s="182"/>
      <c r="I29" s="224"/>
      <c r="J29" s="82"/>
      <c r="K29" s="211"/>
      <c r="L29" s="211"/>
      <c r="M29" s="211"/>
      <c r="N29" s="211"/>
      <c r="O29" s="211"/>
      <c r="P29" s="263"/>
    </row>
    <row r="30" spans="1:16" ht="14.25" customHeight="1">
      <c r="A30" s="147"/>
      <c r="B30" s="10"/>
      <c r="C30" s="83" t="s">
        <v>341</v>
      </c>
      <c r="D30" s="222" t="s">
        <v>63</v>
      </c>
      <c r="E30" s="61">
        <v>125</v>
      </c>
      <c r="F30" s="82"/>
      <c r="G30" s="71"/>
      <c r="H30" s="182"/>
      <c r="I30" s="224"/>
      <c r="J30" s="67"/>
      <c r="K30" s="211"/>
      <c r="L30" s="211"/>
      <c r="M30" s="211"/>
      <c r="N30" s="211"/>
      <c r="O30" s="211"/>
      <c r="P30" s="263"/>
    </row>
    <row r="31" spans="1:16">
      <c r="A31" s="255"/>
      <c r="B31" s="62"/>
      <c r="C31" s="83" t="s">
        <v>342</v>
      </c>
      <c r="D31" s="222" t="s">
        <v>44</v>
      </c>
      <c r="E31" s="286">
        <v>4</v>
      </c>
      <c r="F31" s="120"/>
      <c r="G31" s="71"/>
      <c r="H31" s="182"/>
      <c r="I31" s="224"/>
      <c r="J31" s="82"/>
      <c r="K31" s="211"/>
      <c r="L31" s="211"/>
      <c r="M31" s="211"/>
      <c r="N31" s="211"/>
      <c r="O31" s="211"/>
      <c r="P31" s="263"/>
    </row>
    <row r="32" spans="1:16">
      <c r="A32" s="147">
        <v>1</v>
      </c>
      <c r="B32" s="10"/>
      <c r="C32" s="83" t="s">
        <v>342</v>
      </c>
      <c r="D32" s="222" t="s">
        <v>44</v>
      </c>
      <c r="E32" s="286">
        <v>6</v>
      </c>
      <c r="F32" s="120"/>
      <c r="G32" s="71"/>
      <c r="H32" s="182"/>
      <c r="I32" s="224"/>
      <c r="J32" s="67"/>
      <c r="K32" s="211"/>
      <c r="L32" s="211"/>
      <c r="M32" s="211"/>
      <c r="N32" s="211"/>
      <c r="O32" s="211"/>
      <c r="P32" s="263"/>
    </row>
    <row r="33" spans="1:18">
      <c r="A33" s="147">
        <v>2</v>
      </c>
      <c r="B33" s="10"/>
      <c r="C33" s="83" t="s">
        <v>342</v>
      </c>
      <c r="D33" s="222" t="s">
        <v>44</v>
      </c>
      <c r="E33" s="286">
        <v>6</v>
      </c>
      <c r="F33" s="120"/>
      <c r="G33" s="71"/>
      <c r="H33" s="182"/>
      <c r="I33" s="224"/>
      <c r="J33" s="82"/>
      <c r="K33" s="211"/>
      <c r="L33" s="211"/>
      <c r="M33" s="211"/>
      <c r="N33" s="211"/>
      <c r="O33" s="211"/>
      <c r="P33" s="263"/>
    </row>
    <row r="34" spans="1:18">
      <c r="A34" s="147">
        <v>3</v>
      </c>
      <c r="B34" s="10"/>
      <c r="C34" s="83" t="s">
        <v>342</v>
      </c>
      <c r="D34" s="222" t="s">
        <v>44</v>
      </c>
      <c r="E34" s="286">
        <v>4</v>
      </c>
      <c r="F34" s="120"/>
      <c r="G34" s="71"/>
      <c r="H34" s="182"/>
      <c r="I34" s="224"/>
      <c r="J34" s="67"/>
      <c r="K34" s="211"/>
      <c r="L34" s="211"/>
      <c r="M34" s="211"/>
      <c r="N34" s="211"/>
      <c r="O34" s="211"/>
      <c r="P34" s="263"/>
    </row>
    <row r="35" spans="1:18">
      <c r="A35" s="147">
        <v>4</v>
      </c>
      <c r="B35" s="10"/>
      <c r="C35" s="83" t="s">
        <v>342</v>
      </c>
      <c r="D35" s="222" t="s">
        <v>44</v>
      </c>
      <c r="E35" s="286">
        <v>8</v>
      </c>
      <c r="F35" s="120"/>
      <c r="G35" s="71"/>
      <c r="H35" s="182"/>
      <c r="I35" s="224"/>
      <c r="J35" s="82"/>
      <c r="K35" s="211"/>
      <c r="L35" s="211"/>
      <c r="M35" s="211"/>
      <c r="N35" s="211"/>
      <c r="O35" s="211"/>
      <c r="P35" s="263"/>
    </row>
    <row r="36" spans="1:18">
      <c r="A36" s="147">
        <v>5</v>
      </c>
      <c r="B36" s="10"/>
      <c r="C36" s="83" t="s">
        <v>342</v>
      </c>
      <c r="D36" s="222" t="s">
        <v>44</v>
      </c>
      <c r="E36" s="286">
        <v>12</v>
      </c>
      <c r="F36" s="120"/>
      <c r="G36" s="71"/>
      <c r="H36" s="182"/>
      <c r="I36" s="224"/>
      <c r="J36" s="67"/>
      <c r="K36" s="211"/>
      <c r="L36" s="211"/>
      <c r="M36" s="211"/>
      <c r="N36" s="211"/>
      <c r="O36" s="211"/>
      <c r="P36" s="263"/>
    </row>
    <row r="37" spans="1:18">
      <c r="A37" s="147"/>
      <c r="B37" s="10"/>
      <c r="C37" s="83" t="s">
        <v>342</v>
      </c>
      <c r="D37" s="222" t="s">
        <v>44</v>
      </c>
      <c r="E37" s="286">
        <v>10</v>
      </c>
      <c r="F37" s="120"/>
      <c r="G37" s="71"/>
      <c r="H37" s="182"/>
      <c r="I37" s="224"/>
      <c r="J37" s="82"/>
      <c r="K37" s="211"/>
      <c r="L37" s="211"/>
      <c r="M37" s="211"/>
      <c r="N37" s="211"/>
      <c r="O37" s="211"/>
      <c r="P37" s="263"/>
    </row>
    <row r="38" spans="1:18">
      <c r="A38" s="255"/>
      <c r="B38" s="62"/>
      <c r="C38" s="83" t="s">
        <v>343</v>
      </c>
      <c r="D38" s="222" t="s">
        <v>44</v>
      </c>
      <c r="E38" s="286">
        <v>50</v>
      </c>
      <c r="F38" s="120"/>
      <c r="G38" s="71"/>
      <c r="H38" s="182"/>
      <c r="I38" s="224"/>
      <c r="J38" s="67"/>
      <c r="K38" s="211"/>
      <c r="L38" s="211"/>
      <c r="M38" s="211"/>
      <c r="N38" s="211"/>
      <c r="O38" s="211"/>
      <c r="P38" s="263"/>
    </row>
    <row r="39" spans="1:18">
      <c r="A39" s="147">
        <v>1</v>
      </c>
      <c r="B39" s="10"/>
      <c r="C39" s="83" t="s">
        <v>344</v>
      </c>
      <c r="D39" s="222" t="s">
        <v>44</v>
      </c>
      <c r="E39" s="287">
        <v>50</v>
      </c>
      <c r="F39" s="120"/>
      <c r="G39" s="71"/>
      <c r="H39" s="182"/>
      <c r="I39" s="224"/>
      <c r="J39" s="82"/>
      <c r="K39" s="211"/>
      <c r="L39" s="211"/>
      <c r="M39" s="211"/>
      <c r="N39" s="211"/>
      <c r="O39" s="211"/>
      <c r="P39" s="263"/>
    </row>
    <row r="40" spans="1:18">
      <c r="A40" s="147">
        <v>2</v>
      </c>
      <c r="B40" s="10"/>
      <c r="C40" s="83" t="s">
        <v>345</v>
      </c>
      <c r="D40" s="222" t="s">
        <v>44</v>
      </c>
      <c r="E40" s="287">
        <v>6</v>
      </c>
      <c r="F40" s="120"/>
      <c r="G40" s="71"/>
      <c r="H40" s="182"/>
      <c r="I40" s="224"/>
      <c r="J40" s="67"/>
      <c r="K40" s="211"/>
      <c r="L40" s="211"/>
      <c r="M40" s="211"/>
      <c r="N40" s="211"/>
      <c r="O40" s="211"/>
      <c r="P40" s="263"/>
    </row>
    <row r="41" spans="1:18">
      <c r="A41" s="147">
        <v>3</v>
      </c>
      <c r="B41" s="10"/>
      <c r="C41" s="83" t="s">
        <v>346</v>
      </c>
      <c r="D41" s="227" t="s">
        <v>350</v>
      </c>
      <c r="E41" s="226">
        <v>500</v>
      </c>
      <c r="F41" s="82"/>
      <c r="G41" s="71"/>
      <c r="H41" s="182"/>
      <c r="I41" s="224"/>
      <c r="J41" s="82"/>
      <c r="K41" s="211"/>
      <c r="L41" s="211"/>
      <c r="M41" s="211"/>
      <c r="N41" s="211"/>
      <c r="O41" s="211"/>
      <c r="P41" s="263"/>
    </row>
    <row r="42" spans="1:18">
      <c r="A42" s="147">
        <v>4</v>
      </c>
      <c r="B42" s="10"/>
      <c r="C42" s="83" t="s">
        <v>347</v>
      </c>
      <c r="D42" s="10" t="s">
        <v>9</v>
      </c>
      <c r="E42" s="226">
        <v>0.5</v>
      </c>
      <c r="F42" s="82"/>
      <c r="G42" s="71"/>
      <c r="H42" s="182"/>
      <c r="I42" s="224"/>
      <c r="J42" s="67"/>
      <c r="K42" s="211"/>
      <c r="L42" s="211"/>
      <c r="M42" s="211"/>
      <c r="N42" s="211"/>
      <c r="O42" s="211"/>
      <c r="P42" s="263"/>
    </row>
    <row r="43" spans="1:18" ht="15" customHeight="1">
      <c r="A43" s="147">
        <v>5</v>
      </c>
      <c r="B43" s="10"/>
      <c r="C43" s="83" t="s">
        <v>348</v>
      </c>
      <c r="D43" s="227" t="s">
        <v>73</v>
      </c>
      <c r="E43" s="287">
        <v>3</v>
      </c>
      <c r="F43" s="175"/>
      <c r="G43" s="71"/>
      <c r="H43" s="182"/>
      <c r="I43" s="224"/>
      <c r="J43" s="82"/>
      <c r="K43" s="211"/>
      <c r="L43" s="211"/>
      <c r="M43" s="211"/>
      <c r="N43" s="211"/>
      <c r="O43" s="211"/>
      <c r="P43" s="263"/>
    </row>
    <row r="44" spans="1:18" ht="14.25" customHeight="1">
      <c r="A44" s="147"/>
      <c r="B44" s="10"/>
      <c r="C44" s="83" t="s">
        <v>349</v>
      </c>
      <c r="D44" s="227" t="s">
        <v>73</v>
      </c>
      <c r="E44" s="287">
        <v>3</v>
      </c>
      <c r="F44" s="82"/>
      <c r="G44" s="71"/>
      <c r="H44" s="182"/>
      <c r="I44" s="224"/>
      <c r="J44" s="67"/>
      <c r="K44" s="211"/>
      <c r="L44" s="211"/>
      <c r="M44" s="211"/>
      <c r="N44" s="211"/>
      <c r="O44" s="211"/>
      <c r="P44" s="263"/>
    </row>
    <row r="45" spans="1:18">
      <c r="A45" s="255"/>
      <c r="B45" s="62"/>
      <c r="C45" s="83" t="s">
        <v>352</v>
      </c>
      <c r="D45" s="227" t="s">
        <v>73</v>
      </c>
      <c r="E45" s="287">
        <v>3</v>
      </c>
      <c r="F45" s="120"/>
      <c r="G45" s="71"/>
      <c r="H45" s="182"/>
      <c r="I45" s="224"/>
      <c r="J45" s="82"/>
      <c r="K45" s="211"/>
      <c r="L45" s="211"/>
      <c r="M45" s="211"/>
      <c r="N45" s="211"/>
      <c r="O45" s="211"/>
      <c r="P45" s="263"/>
    </row>
    <row r="46" spans="1:18" ht="15" thickBot="1">
      <c r="A46" s="126"/>
      <c r="B46" s="127"/>
      <c r="C46" s="390" t="s">
        <v>97</v>
      </c>
      <c r="D46" s="390"/>
      <c r="E46" s="390"/>
      <c r="F46" s="390"/>
      <c r="G46" s="390"/>
      <c r="H46" s="390"/>
      <c r="I46" s="390"/>
      <c r="J46" s="390"/>
      <c r="K46" s="390"/>
      <c r="L46" s="153">
        <f>SUM(L13:L45)</f>
        <v>0</v>
      </c>
      <c r="M46" s="153">
        <f>SUM(M13:M45)</f>
        <v>0</v>
      </c>
      <c r="N46" s="153">
        <f>SUM(N13:N45)</f>
        <v>0</v>
      </c>
      <c r="O46" s="153">
        <f>SUM(O13:O45)</f>
        <v>0</v>
      </c>
      <c r="P46" s="154">
        <f>SUM(P13:P45)</f>
        <v>0</v>
      </c>
    </row>
    <row r="47" spans="1:18" ht="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59"/>
      <c r="R47" s="57"/>
    </row>
    <row r="48" spans="1:18">
      <c r="A48" s="6"/>
      <c r="B48" s="6"/>
      <c r="C48" s="5" t="s">
        <v>21</v>
      </c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220"/>
    </row>
    <row r="49" spans="1:16">
      <c r="A49" s="5"/>
      <c r="B49" s="5"/>
      <c r="C49" s="3"/>
      <c r="D49" s="392" t="s">
        <v>22</v>
      </c>
      <c r="E49" s="392"/>
      <c r="F49" s="392"/>
      <c r="G49" s="392"/>
      <c r="H49" s="392"/>
      <c r="I49" s="392"/>
      <c r="J49" s="392"/>
      <c r="K49" s="392"/>
      <c r="L49" s="392"/>
      <c r="M49" s="392"/>
      <c r="N49" s="392"/>
      <c r="O49" s="392"/>
      <c r="P49" s="4"/>
    </row>
    <row r="50" spans="1:16">
      <c r="A50" s="3"/>
      <c r="B50" s="3"/>
      <c r="C50" s="5" t="s">
        <v>23</v>
      </c>
      <c r="D50" s="354"/>
      <c r="E50" s="354"/>
      <c r="F50" s="354"/>
      <c r="G50" s="3"/>
      <c r="H50" s="3"/>
      <c r="I50" s="3"/>
      <c r="J50" s="3"/>
      <c r="K50" s="3"/>
      <c r="L50" s="3"/>
      <c r="M50" s="3"/>
      <c r="N50" s="3"/>
      <c r="O50" s="3"/>
      <c r="P50" s="4"/>
    </row>
    <row r="51" spans="1:16">
      <c r="A51" s="3"/>
      <c r="B51" s="3"/>
      <c r="C51" s="5"/>
      <c r="D51" s="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</row>
    <row r="52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</sheetData>
  <mergeCells count="22">
    <mergeCell ref="A8:J8"/>
    <mergeCell ref="L9:P9"/>
    <mergeCell ref="A6:D6"/>
    <mergeCell ref="L1:O1"/>
    <mergeCell ref="A2:C2"/>
    <mergeCell ref="L2:O2"/>
    <mergeCell ref="A3:D3"/>
    <mergeCell ref="L3:O3"/>
    <mergeCell ref="A5:K5"/>
    <mergeCell ref="A7:H7"/>
    <mergeCell ref="L7:N7"/>
    <mergeCell ref="O7:P7"/>
    <mergeCell ref="D48:O48"/>
    <mergeCell ref="D49:O49"/>
    <mergeCell ref="C46:K46"/>
    <mergeCell ref="D50:F50"/>
    <mergeCell ref="A9:A10"/>
    <mergeCell ref="B9:B10"/>
    <mergeCell ref="C9:C10"/>
    <mergeCell ref="D9:D10"/>
    <mergeCell ref="E9:E10"/>
    <mergeCell ref="F9:K9"/>
  </mergeCells>
  <conditionalFormatting sqref="D16:D23">
    <cfRule type="cellIs" dxfId="35" priority="3" stopIfTrue="1" operator="equal">
      <formula>0</formula>
    </cfRule>
    <cfRule type="expression" dxfId="34" priority="4" stopIfTrue="1">
      <formula>#N/A</formula>
    </cfRule>
  </conditionalFormatting>
  <conditionalFormatting sqref="D25:D30">
    <cfRule type="cellIs" dxfId="33" priority="25" stopIfTrue="1" operator="equal">
      <formula>0</formula>
    </cfRule>
    <cfRule type="expression" dxfId="32" priority="26" stopIfTrue="1">
      <formula>#N/A</formula>
    </cfRule>
  </conditionalFormatting>
  <conditionalFormatting sqref="D41:D44">
    <cfRule type="cellIs" dxfId="31" priority="1" stopIfTrue="1" operator="equal">
      <formula>0</formula>
    </cfRule>
    <cfRule type="expression" dxfId="30" priority="2" stopIfTrue="1">
      <formula>#N/A</formula>
    </cfRule>
  </conditionalFormatting>
  <conditionalFormatting sqref="D46">
    <cfRule type="cellIs" dxfId="29" priority="255" stopIfTrue="1" operator="equal">
      <formula>0</formula>
    </cfRule>
    <cfRule type="expression" dxfId="28" priority="256" stopIfTrue="1">
      <formula>#N/A</formula>
    </cfRule>
  </conditionalFormatting>
  <hyperlinks>
    <hyperlink ref="L1" r:id="rId1" tooltip="Atvērt citā formātā" display="https://likumi.lv/wwwraksti/2017/103/BILDES/N_239/P5.DOCX" xr:uid="{5184648B-9B0C-4241-BA9C-DC795FD922AF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21E5-F9CD-40C0-89B7-4AA35B7DBD98}">
  <dimension ref="A1:R74"/>
  <sheetViews>
    <sheetView zoomScale="130" zoomScaleNormal="130" workbookViewId="0">
      <selection activeCell="A4" sqref="A4:K4"/>
    </sheetView>
  </sheetViews>
  <sheetFormatPr defaultColWidth="9.140625" defaultRowHeight="14.25"/>
  <cols>
    <col min="1" max="1" width="6.42578125" style="1" customWidth="1"/>
    <col min="2" max="2" width="8.85546875" style="1" customWidth="1"/>
    <col min="3" max="3" width="43.28515625" style="1" customWidth="1"/>
    <col min="4" max="4" width="5.42578125" style="1" customWidth="1"/>
    <col min="5" max="5" width="7.28515625" style="1" customWidth="1"/>
    <col min="6" max="6" width="7" style="1" customWidth="1"/>
    <col min="7" max="9" width="8.85546875" style="1" customWidth="1"/>
    <col min="10" max="10" width="8.28515625" style="1" customWidth="1"/>
    <col min="11" max="11" width="8" style="1" customWidth="1"/>
    <col min="12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59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326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A4" s="399" t="s">
        <v>531</v>
      </c>
      <c r="B4" s="400"/>
      <c r="C4" s="400"/>
      <c r="D4" s="400"/>
      <c r="E4" s="400"/>
      <c r="F4" s="400"/>
      <c r="G4" s="400"/>
      <c r="H4" s="400"/>
      <c r="I4" s="400"/>
      <c r="J4" s="400"/>
      <c r="K4" s="401"/>
    </row>
    <row r="5" spans="1:16" ht="15" customHeight="1">
      <c r="A5" s="379" t="s">
        <v>532</v>
      </c>
      <c r="B5" s="379"/>
      <c r="C5" s="379"/>
      <c r="D5" s="398"/>
      <c r="E5" s="7"/>
      <c r="F5" s="7"/>
      <c r="G5" s="7"/>
      <c r="H5" s="7"/>
      <c r="I5" s="7"/>
      <c r="J5" s="7"/>
    </row>
    <row r="6" spans="1:16">
      <c r="A6" s="379" t="s">
        <v>62</v>
      </c>
      <c r="B6" s="379"/>
      <c r="C6" s="379"/>
      <c r="D6" s="379"/>
      <c r="E6" s="379"/>
      <c r="F6" s="379"/>
      <c r="G6" s="379"/>
      <c r="H6" s="379"/>
      <c r="I6" s="7"/>
      <c r="J6" s="7"/>
      <c r="L6" s="363" t="s">
        <v>18</v>
      </c>
      <c r="M6" s="363"/>
      <c r="N6" s="363"/>
      <c r="O6" s="364"/>
      <c r="P6" s="363"/>
    </row>
    <row r="7" spans="1:16" ht="15" thickBot="1">
      <c r="A7" s="379" t="s">
        <v>536</v>
      </c>
      <c r="B7" s="379"/>
      <c r="C7" s="379"/>
      <c r="D7" s="379"/>
      <c r="E7" s="379"/>
      <c r="F7" s="379"/>
      <c r="G7" s="379"/>
      <c r="H7" s="379"/>
      <c r="I7" s="379"/>
      <c r="J7" s="379"/>
      <c r="K7" s="7"/>
      <c r="L7" s="7"/>
      <c r="M7" s="7"/>
      <c r="N7" s="7"/>
      <c r="O7" s="7"/>
      <c r="P7" s="7"/>
    </row>
    <row r="8" spans="1:16" ht="14.25" customHeight="1">
      <c r="A8" s="394" t="s">
        <v>1</v>
      </c>
      <c r="B8" s="388" t="s">
        <v>2</v>
      </c>
      <c r="C8" s="388" t="s">
        <v>3</v>
      </c>
      <c r="D8" s="396" t="s">
        <v>4</v>
      </c>
      <c r="E8" s="396" t="s">
        <v>5</v>
      </c>
      <c r="F8" s="388" t="s">
        <v>13</v>
      </c>
      <c r="G8" s="388"/>
      <c r="H8" s="388"/>
      <c r="I8" s="388"/>
      <c r="J8" s="388"/>
      <c r="K8" s="388"/>
      <c r="L8" s="388" t="s">
        <v>14</v>
      </c>
      <c r="M8" s="388"/>
      <c r="N8" s="388"/>
      <c r="O8" s="388"/>
      <c r="P8" s="389"/>
    </row>
    <row r="9" spans="1:16" ht="51">
      <c r="A9" s="395"/>
      <c r="B9" s="377"/>
      <c r="C9" s="377"/>
      <c r="D9" s="397"/>
      <c r="E9" s="397"/>
      <c r="F9" s="10" t="s">
        <v>15</v>
      </c>
      <c r="G9" s="10" t="s">
        <v>16</v>
      </c>
      <c r="H9" s="10" t="s">
        <v>52</v>
      </c>
      <c r="I9" s="10" t="s">
        <v>49</v>
      </c>
      <c r="J9" s="10" t="s">
        <v>53</v>
      </c>
      <c r="K9" s="10" t="s">
        <v>50</v>
      </c>
      <c r="L9" s="10" t="s">
        <v>17</v>
      </c>
      <c r="M9" s="10" t="s">
        <v>52</v>
      </c>
      <c r="N9" s="10" t="s">
        <v>49</v>
      </c>
      <c r="O9" s="10" t="s">
        <v>53</v>
      </c>
      <c r="P9" s="125" t="s">
        <v>51</v>
      </c>
    </row>
    <row r="10" spans="1:16" ht="15" thickBot="1">
      <c r="A10" s="126">
        <v>1</v>
      </c>
      <c r="B10" s="127">
        <v>2</v>
      </c>
      <c r="C10" s="127">
        <v>3</v>
      </c>
      <c r="D10" s="127">
        <v>4</v>
      </c>
      <c r="E10" s="127">
        <v>5</v>
      </c>
      <c r="F10" s="128">
        <v>6</v>
      </c>
      <c r="G10" s="128">
        <v>7</v>
      </c>
      <c r="H10" s="128">
        <v>8</v>
      </c>
      <c r="I10" s="128">
        <v>9</v>
      </c>
      <c r="J10" s="128">
        <v>10</v>
      </c>
      <c r="K10" s="128">
        <v>11</v>
      </c>
      <c r="L10" s="128">
        <v>12</v>
      </c>
      <c r="M10" s="128">
        <v>13</v>
      </c>
      <c r="N10" s="128">
        <v>14</v>
      </c>
      <c r="O10" s="128">
        <v>15</v>
      </c>
      <c r="P10" s="129">
        <v>16</v>
      </c>
    </row>
    <row r="11" spans="1:16" ht="12.75" customHeight="1">
      <c r="A11" s="157"/>
      <c r="B11" s="139" t="s">
        <v>355</v>
      </c>
      <c r="C11" s="278" t="s">
        <v>356</v>
      </c>
      <c r="D11" s="279"/>
      <c r="E11" s="141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</row>
    <row r="12" spans="1:16" ht="38.25">
      <c r="A12" s="147">
        <v>1</v>
      </c>
      <c r="B12" s="10"/>
      <c r="C12" s="232" t="s">
        <v>357</v>
      </c>
      <c r="D12" s="229" t="s">
        <v>73</v>
      </c>
      <c r="E12" s="10">
        <v>1</v>
      </c>
      <c r="F12" s="230"/>
      <c r="G12" s="230"/>
      <c r="H12" s="230"/>
      <c r="I12" s="230"/>
      <c r="J12" s="234"/>
      <c r="K12" s="230"/>
      <c r="L12" s="230"/>
      <c r="M12" s="230"/>
      <c r="N12" s="230"/>
      <c r="O12" s="230"/>
      <c r="P12" s="282"/>
    </row>
    <row r="13" spans="1:16">
      <c r="A13" s="147">
        <v>2</v>
      </c>
      <c r="B13" s="10"/>
      <c r="C13" s="232" t="s">
        <v>365</v>
      </c>
      <c r="D13" s="229" t="s">
        <v>63</v>
      </c>
      <c r="E13" s="10">
        <v>30</v>
      </c>
      <c r="F13" s="230"/>
      <c r="G13" s="230"/>
      <c r="H13" s="230"/>
      <c r="I13" s="230"/>
      <c r="J13" s="67"/>
      <c r="K13" s="230"/>
      <c r="L13" s="230"/>
      <c r="M13" s="230"/>
      <c r="N13" s="230"/>
      <c r="O13" s="230"/>
      <c r="P13" s="282"/>
    </row>
    <row r="14" spans="1:16">
      <c r="A14" s="147">
        <v>3</v>
      </c>
      <c r="B14" s="10"/>
      <c r="C14" s="231" t="s">
        <v>366</v>
      </c>
      <c r="D14" s="229" t="s">
        <v>63</v>
      </c>
      <c r="E14" s="178">
        <v>75</v>
      </c>
      <c r="F14" s="230"/>
      <c r="G14" s="230"/>
      <c r="H14" s="230"/>
      <c r="I14" s="230"/>
      <c r="J14" s="67"/>
      <c r="K14" s="230"/>
      <c r="L14" s="230"/>
      <c r="M14" s="230"/>
      <c r="N14" s="230"/>
      <c r="O14" s="230"/>
      <c r="P14" s="282"/>
    </row>
    <row r="15" spans="1:16">
      <c r="A15" s="147">
        <v>4</v>
      </c>
      <c r="B15" s="10"/>
      <c r="C15" s="231" t="s">
        <v>367</v>
      </c>
      <c r="D15" s="229" t="s">
        <v>63</v>
      </c>
      <c r="E15" s="178">
        <v>96</v>
      </c>
      <c r="F15" s="230"/>
      <c r="G15" s="230"/>
      <c r="H15" s="230"/>
      <c r="I15" s="230"/>
      <c r="J15" s="67"/>
      <c r="K15" s="230"/>
      <c r="L15" s="230"/>
      <c r="M15" s="230"/>
      <c r="N15" s="230"/>
      <c r="O15" s="230"/>
      <c r="P15" s="282"/>
    </row>
    <row r="16" spans="1:16">
      <c r="A16" s="147">
        <v>5</v>
      </c>
      <c r="B16" s="10"/>
      <c r="C16" s="231" t="s">
        <v>368</v>
      </c>
      <c r="D16" s="229" t="s">
        <v>63</v>
      </c>
      <c r="E16" s="178">
        <v>54</v>
      </c>
      <c r="F16" s="230"/>
      <c r="G16" s="230"/>
      <c r="H16" s="230"/>
      <c r="I16" s="230"/>
      <c r="J16" s="67"/>
      <c r="K16" s="230"/>
      <c r="L16" s="230"/>
      <c r="M16" s="230"/>
      <c r="N16" s="230"/>
      <c r="O16" s="230"/>
      <c r="P16" s="282"/>
    </row>
    <row r="17" spans="1:16" ht="12.75" customHeight="1">
      <c r="A17" s="283">
        <v>6</v>
      </c>
      <c r="B17" s="64"/>
      <c r="C17" s="98" t="s">
        <v>369</v>
      </c>
      <c r="D17" s="229" t="s">
        <v>63</v>
      </c>
      <c r="E17" s="178">
        <v>27</v>
      </c>
      <c r="F17" s="230"/>
      <c r="G17" s="230"/>
      <c r="H17" s="230"/>
      <c r="I17" s="230"/>
      <c r="J17" s="67"/>
      <c r="K17" s="230"/>
      <c r="L17" s="230"/>
      <c r="M17" s="230"/>
      <c r="N17" s="230"/>
      <c r="O17" s="230"/>
      <c r="P17" s="282"/>
    </row>
    <row r="18" spans="1:16">
      <c r="A18" s="147">
        <v>7</v>
      </c>
      <c r="B18" s="10"/>
      <c r="C18" s="98" t="s">
        <v>370</v>
      </c>
      <c r="D18" s="229" t="s">
        <v>63</v>
      </c>
      <c r="E18" s="178">
        <v>1.5</v>
      </c>
      <c r="F18" s="230"/>
      <c r="G18" s="230"/>
      <c r="H18" s="230"/>
      <c r="I18" s="230"/>
      <c r="J18" s="67"/>
      <c r="K18" s="230"/>
      <c r="L18" s="230"/>
      <c r="M18" s="230"/>
      <c r="N18" s="230"/>
      <c r="O18" s="230"/>
      <c r="P18" s="282"/>
    </row>
    <row r="19" spans="1:16">
      <c r="A19" s="147">
        <v>8</v>
      </c>
      <c r="B19" s="10"/>
      <c r="C19" s="233" t="s">
        <v>371</v>
      </c>
      <c r="D19" s="229" t="s">
        <v>44</v>
      </c>
      <c r="E19" s="10">
        <v>13</v>
      </c>
      <c r="F19" s="230"/>
      <c r="G19" s="230"/>
      <c r="H19" s="230"/>
      <c r="I19" s="230"/>
      <c r="J19" s="67"/>
      <c r="K19" s="230"/>
      <c r="L19" s="230"/>
      <c r="M19" s="230"/>
      <c r="N19" s="230"/>
      <c r="O19" s="230"/>
      <c r="P19" s="282"/>
    </row>
    <row r="20" spans="1:16">
      <c r="A20" s="147">
        <v>9</v>
      </c>
      <c r="B20" s="10"/>
      <c r="C20" s="232" t="s">
        <v>372</v>
      </c>
      <c r="D20" s="229" t="s">
        <v>44</v>
      </c>
      <c r="E20" s="10">
        <v>14</v>
      </c>
      <c r="F20" s="230"/>
      <c r="G20" s="230"/>
      <c r="H20" s="230"/>
      <c r="I20" s="230"/>
      <c r="J20" s="67"/>
      <c r="K20" s="230"/>
      <c r="L20" s="230"/>
      <c r="M20" s="230"/>
      <c r="N20" s="230"/>
      <c r="O20" s="230"/>
      <c r="P20" s="282"/>
    </row>
    <row r="21" spans="1:16">
      <c r="A21" s="147">
        <v>10</v>
      </c>
      <c r="B21" s="10"/>
      <c r="C21" s="232" t="s">
        <v>373</v>
      </c>
      <c r="D21" s="229" t="s">
        <v>44</v>
      </c>
      <c r="E21" s="10">
        <v>13</v>
      </c>
      <c r="F21" s="230"/>
      <c r="G21" s="230"/>
      <c r="H21" s="230"/>
      <c r="I21" s="230"/>
      <c r="J21" s="67"/>
      <c r="K21" s="230"/>
      <c r="L21" s="230"/>
      <c r="M21" s="230"/>
      <c r="N21" s="230"/>
      <c r="O21" s="230"/>
      <c r="P21" s="282"/>
    </row>
    <row r="22" spans="1:16">
      <c r="A22" s="147">
        <v>11</v>
      </c>
      <c r="B22" s="10"/>
      <c r="C22" s="232" t="s">
        <v>374</v>
      </c>
      <c r="D22" s="229" t="s">
        <v>44</v>
      </c>
      <c r="E22" s="10">
        <v>12</v>
      </c>
      <c r="F22" s="230"/>
      <c r="G22" s="230"/>
      <c r="H22" s="230"/>
      <c r="I22" s="230"/>
      <c r="J22" s="67"/>
      <c r="K22" s="230"/>
      <c r="L22" s="230"/>
      <c r="M22" s="230"/>
      <c r="N22" s="230"/>
      <c r="O22" s="230"/>
      <c r="P22" s="282"/>
    </row>
    <row r="23" spans="1:16">
      <c r="A23" s="147">
        <v>12</v>
      </c>
      <c r="B23" s="10"/>
      <c r="C23" s="231" t="s">
        <v>375</v>
      </c>
      <c r="D23" s="229" t="s">
        <v>44</v>
      </c>
      <c r="E23" s="178">
        <v>9</v>
      </c>
      <c r="F23" s="230"/>
      <c r="G23" s="230"/>
      <c r="H23" s="230"/>
      <c r="I23" s="230"/>
      <c r="J23" s="67"/>
      <c r="K23" s="230"/>
      <c r="L23" s="230"/>
      <c r="M23" s="230"/>
      <c r="N23" s="230"/>
      <c r="O23" s="230"/>
      <c r="P23" s="282"/>
    </row>
    <row r="24" spans="1:16" ht="12.75" customHeight="1">
      <c r="A24" s="283">
        <v>13</v>
      </c>
      <c r="B24" s="64"/>
      <c r="C24" s="231" t="s">
        <v>376</v>
      </c>
      <c r="D24" s="229" t="s">
        <v>44</v>
      </c>
      <c r="E24" s="178">
        <v>3</v>
      </c>
      <c r="F24" s="230"/>
      <c r="G24" s="230"/>
      <c r="H24" s="230"/>
      <c r="I24" s="230"/>
      <c r="J24" s="67"/>
      <c r="K24" s="230"/>
      <c r="L24" s="230"/>
      <c r="M24" s="230"/>
      <c r="N24" s="230"/>
      <c r="O24" s="230"/>
      <c r="P24" s="282"/>
    </row>
    <row r="25" spans="1:16">
      <c r="A25" s="147">
        <v>14</v>
      </c>
      <c r="B25" s="10"/>
      <c r="C25" s="231" t="s">
        <v>377</v>
      </c>
      <c r="D25" s="229" t="s">
        <v>44</v>
      </c>
      <c r="E25" s="178">
        <v>3</v>
      </c>
      <c r="F25" s="230"/>
      <c r="G25" s="230"/>
      <c r="H25" s="230"/>
      <c r="I25" s="230"/>
      <c r="J25" s="67"/>
      <c r="K25" s="230"/>
      <c r="L25" s="230"/>
      <c r="M25" s="230"/>
      <c r="N25" s="230"/>
      <c r="O25" s="230"/>
      <c r="P25" s="282"/>
    </row>
    <row r="26" spans="1:16">
      <c r="A26" s="147">
        <v>15</v>
      </c>
      <c r="B26" s="10"/>
      <c r="C26" s="98" t="s">
        <v>378</v>
      </c>
      <c r="D26" s="229" t="s">
        <v>44</v>
      </c>
      <c r="E26" s="178">
        <v>3</v>
      </c>
      <c r="F26" s="230"/>
      <c r="G26" s="230"/>
      <c r="H26" s="230"/>
      <c r="I26" s="230"/>
      <c r="J26" s="67"/>
      <c r="K26" s="230"/>
      <c r="L26" s="230"/>
      <c r="M26" s="230"/>
      <c r="N26" s="230"/>
      <c r="O26" s="230"/>
      <c r="P26" s="282"/>
    </row>
    <row r="27" spans="1:16">
      <c r="A27" s="147">
        <v>16</v>
      </c>
      <c r="B27" s="10"/>
      <c r="C27" s="98" t="s">
        <v>379</v>
      </c>
      <c r="D27" s="229" t="s">
        <v>44</v>
      </c>
      <c r="E27" s="178">
        <v>3</v>
      </c>
      <c r="F27" s="230"/>
      <c r="G27" s="230"/>
      <c r="H27" s="230"/>
      <c r="I27" s="230"/>
      <c r="J27" s="67"/>
      <c r="K27" s="230"/>
      <c r="L27" s="230"/>
      <c r="M27" s="230"/>
      <c r="N27" s="230"/>
      <c r="O27" s="230"/>
      <c r="P27" s="282"/>
    </row>
    <row r="28" spans="1:16">
      <c r="A28" s="147">
        <v>17</v>
      </c>
      <c r="B28" s="10"/>
      <c r="C28" s="233" t="s">
        <v>380</v>
      </c>
      <c r="D28" s="229" t="s">
        <v>44</v>
      </c>
      <c r="E28" s="10">
        <v>3</v>
      </c>
      <c r="F28" s="230"/>
      <c r="G28" s="230"/>
      <c r="H28" s="230"/>
      <c r="I28" s="230"/>
      <c r="J28" s="67"/>
      <c r="K28" s="230"/>
      <c r="L28" s="230"/>
      <c r="M28" s="230"/>
      <c r="N28" s="230"/>
      <c r="O28" s="230"/>
      <c r="P28" s="282"/>
    </row>
    <row r="29" spans="1:16">
      <c r="A29" s="147">
        <v>18</v>
      </c>
      <c r="B29" s="10"/>
      <c r="C29" s="232" t="s">
        <v>381</v>
      </c>
      <c r="D29" s="229" t="s">
        <v>44</v>
      </c>
      <c r="E29" s="10">
        <v>3</v>
      </c>
      <c r="F29" s="230"/>
      <c r="G29" s="230"/>
      <c r="H29" s="230"/>
      <c r="I29" s="230"/>
      <c r="J29" s="67"/>
      <c r="K29" s="230"/>
      <c r="L29" s="230"/>
      <c r="M29" s="230"/>
      <c r="N29" s="230"/>
      <c r="O29" s="230"/>
      <c r="P29" s="282"/>
    </row>
    <row r="30" spans="1:16" ht="12.75" customHeight="1">
      <c r="A30" s="283">
        <v>19</v>
      </c>
      <c r="B30" s="64"/>
      <c r="C30" s="232" t="s">
        <v>382</v>
      </c>
      <c r="D30" s="229" t="s">
        <v>44</v>
      </c>
      <c r="E30" s="10">
        <v>3</v>
      </c>
      <c r="F30" s="230"/>
      <c r="G30" s="230"/>
      <c r="H30" s="230"/>
      <c r="I30" s="230"/>
      <c r="J30" s="67"/>
      <c r="K30" s="230"/>
      <c r="L30" s="230"/>
      <c r="M30" s="230"/>
      <c r="N30" s="230"/>
      <c r="O30" s="230"/>
      <c r="P30" s="282"/>
    </row>
    <row r="31" spans="1:16">
      <c r="A31" s="147">
        <v>20</v>
      </c>
      <c r="B31" s="10"/>
      <c r="C31" s="232" t="s">
        <v>383</v>
      </c>
      <c r="D31" s="229" t="s">
        <v>44</v>
      </c>
      <c r="E31" s="10">
        <v>2</v>
      </c>
      <c r="F31" s="230"/>
      <c r="G31" s="230"/>
      <c r="H31" s="230"/>
      <c r="I31" s="230"/>
      <c r="J31" s="67"/>
      <c r="K31" s="230"/>
      <c r="L31" s="230"/>
      <c r="M31" s="230"/>
      <c r="N31" s="230"/>
      <c r="O31" s="230"/>
      <c r="P31" s="282"/>
    </row>
    <row r="32" spans="1:16">
      <c r="A32" s="147">
        <v>21</v>
      </c>
      <c r="B32" s="10"/>
      <c r="C32" s="231" t="s">
        <v>383</v>
      </c>
      <c r="D32" s="229" t="s">
        <v>44</v>
      </c>
      <c r="E32" s="178">
        <v>1</v>
      </c>
      <c r="F32" s="230"/>
      <c r="G32" s="230"/>
      <c r="H32" s="230"/>
      <c r="I32" s="230"/>
      <c r="J32" s="67"/>
      <c r="K32" s="230"/>
      <c r="L32" s="230"/>
      <c r="M32" s="230"/>
      <c r="N32" s="230"/>
      <c r="O32" s="230"/>
      <c r="P32" s="282"/>
    </row>
    <row r="33" spans="1:16">
      <c r="A33" s="147">
        <v>22</v>
      </c>
      <c r="B33" s="10"/>
      <c r="C33" s="231" t="s">
        <v>384</v>
      </c>
      <c r="D33" s="229" t="s">
        <v>44</v>
      </c>
      <c r="E33" s="178">
        <v>1</v>
      </c>
      <c r="F33" s="230"/>
      <c r="G33" s="230"/>
      <c r="H33" s="230"/>
      <c r="I33" s="230"/>
      <c r="J33" s="67"/>
      <c r="K33" s="230"/>
      <c r="L33" s="230"/>
      <c r="M33" s="230"/>
      <c r="N33" s="230"/>
      <c r="O33" s="230"/>
      <c r="P33" s="282"/>
    </row>
    <row r="34" spans="1:16">
      <c r="A34" s="147">
        <v>23</v>
      </c>
      <c r="B34" s="10"/>
      <c r="C34" s="231" t="s">
        <v>385</v>
      </c>
      <c r="D34" s="229" t="s">
        <v>44</v>
      </c>
      <c r="E34" s="178">
        <v>1</v>
      </c>
      <c r="F34" s="230"/>
      <c r="G34" s="230"/>
      <c r="H34" s="230"/>
      <c r="I34" s="230"/>
      <c r="J34" s="67"/>
      <c r="K34" s="230"/>
      <c r="L34" s="230"/>
      <c r="M34" s="230"/>
      <c r="N34" s="230"/>
      <c r="O34" s="230"/>
      <c r="P34" s="282"/>
    </row>
    <row r="35" spans="1:16">
      <c r="A35" s="147">
        <v>24</v>
      </c>
      <c r="B35" s="10"/>
      <c r="C35" s="98" t="s">
        <v>386</v>
      </c>
      <c r="D35" s="229" t="s">
        <v>44</v>
      </c>
      <c r="E35" s="178">
        <v>2</v>
      </c>
      <c r="F35" s="230"/>
      <c r="G35" s="230"/>
      <c r="H35" s="230"/>
      <c r="I35" s="230"/>
      <c r="J35" s="67"/>
      <c r="K35" s="230"/>
      <c r="L35" s="230"/>
      <c r="M35" s="230"/>
      <c r="N35" s="230"/>
      <c r="O35" s="230"/>
      <c r="P35" s="282"/>
    </row>
    <row r="36" spans="1:16">
      <c r="A36" s="147">
        <v>25</v>
      </c>
      <c r="B36" s="10"/>
      <c r="C36" s="98" t="s">
        <v>387</v>
      </c>
      <c r="D36" s="229" t="s">
        <v>44</v>
      </c>
      <c r="E36" s="178">
        <v>1</v>
      </c>
      <c r="F36" s="230"/>
      <c r="G36" s="230"/>
      <c r="H36" s="230"/>
      <c r="I36" s="230"/>
      <c r="J36" s="67"/>
      <c r="K36" s="230"/>
      <c r="L36" s="230"/>
      <c r="M36" s="230"/>
      <c r="N36" s="230"/>
      <c r="O36" s="230"/>
      <c r="P36" s="282"/>
    </row>
    <row r="37" spans="1:16" ht="12.75" customHeight="1">
      <c r="A37" s="283">
        <v>26</v>
      </c>
      <c r="B37" s="64"/>
      <c r="C37" s="232" t="s">
        <v>388</v>
      </c>
      <c r="D37" s="229" t="s">
        <v>44</v>
      </c>
      <c r="E37" s="10">
        <v>2</v>
      </c>
      <c r="F37" s="230"/>
      <c r="G37" s="230"/>
      <c r="H37" s="230"/>
      <c r="I37" s="230"/>
      <c r="J37" s="67"/>
      <c r="K37" s="230"/>
      <c r="L37" s="230"/>
      <c r="M37" s="230"/>
      <c r="N37" s="230"/>
      <c r="O37" s="230"/>
      <c r="P37" s="282"/>
    </row>
    <row r="38" spans="1:16">
      <c r="A38" s="147">
        <v>27</v>
      </c>
      <c r="B38" s="10"/>
      <c r="C38" s="232" t="s">
        <v>390</v>
      </c>
      <c r="D38" s="229" t="s">
        <v>44</v>
      </c>
      <c r="E38" s="10">
        <v>2</v>
      </c>
      <c r="F38" s="230"/>
      <c r="G38" s="230"/>
      <c r="H38" s="230"/>
      <c r="I38" s="230"/>
      <c r="J38" s="67"/>
      <c r="K38" s="230"/>
      <c r="L38" s="230"/>
      <c r="M38" s="230"/>
      <c r="N38" s="230"/>
      <c r="O38" s="230"/>
      <c r="P38" s="282"/>
    </row>
    <row r="39" spans="1:16">
      <c r="A39" s="147">
        <v>28</v>
      </c>
      <c r="B39" s="10"/>
      <c r="C39" s="231" t="s">
        <v>389</v>
      </c>
      <c r="D39" s="229" t="s">
        <v>44</v>
      </c>
      <c r="E39" s="178">
        <v>1</v>
      </c>
      <c r="F39" s="230"/>
      <c r="G39" s="230"/>
      <c r="H39" s="230"/>
      <c r="I39" s="230"/>
      <c r="J39" s="67"/>
      <c r="K39" s="230"/>
      <c r="L39" s="230"/>
      <c r="M39" s="230"/>
      <c r="N39" s="230"/>
      <c r="O39" s="230"/>
      <c r="P39" s="282"/>
    </row>
    <row r="40" spans="1:16">
      <c r="A40" s="147">
        <v>29</v>
      </c>
      <c r="B40" s="10"/>
      <c r="C40" s="231" t="s">
        <v>391</v>
      </c>
      <c r="D40" s="229" t="s">
        <v>44</v>
      </c>
      <c r="E40" s="178">
        <v>3</v>
      </c>
      <c r="F40" s="230"/>
      <c r="G40" s="230"/>
      <c r="H40" s="230"/>
      <c r="I40" s="230"/>
      <c r="J40" s="67"/>
      <c r="K40" s="230"/>
      <c r="L40" s="230"/>
      <c r="M40" s="230"/>
      <c r="N40" s="230"/>
      <c r="O40" s="230"/>
      <c r="P40" s="282"/>
    </row>
    <row r="41" spans="1:16">
      <c r="A41" s="147">
        <v>30</v>
      </c>
      <c r="B41" s="10"/>
      <c r="C41" s="231" t="s">
        <v>392</v>
      </c>
      <c r="D41" s="229" t="s">
        <v>44</v>
      </c>
      <c r="E41" s="178">
        <v>10</v>
      </c>
      <c r="F41" s="230"/>
      <c r="G41" s="230"/>
      <c r="H41" s="230"/>
      <c r="I41" s="230"/>
      <c r="J41" s="67"/>
      <c r="K41" s="230"/>
      <c r="L41" s="230"/>
      <c r="M41" s="230"/>
      <c r="N41" s="230"/>
      <c r="O41" s="230"/>
      <c r="P41" s="282"/>
    </row>
    <row r="42" spans="1:16">
      <c r="A42" s="147">
        <v>31</v>
      </c>
      <c r="B42" s="10"/>
      <c r="C42" s="98" t="s">
        <v>393</v>
      </c>
      <c r="D42" s="229" t="s">
        <v>44</v>
      </c>
      <c r="E42" s="178">
        <v>12</v>
      </c>
      <c r="F42" s="230"/>
      <c r="G42" s="230"/>
      <c r="H42" s="230"/>
      <c r="I42" s="230"/>
      <c r="J42" s="67"/>
      <c r="K42" s="230"/>
      <c r="L42" s="230"/>
      <c r="M42" s="230"/>
      <c r="N42" s="230"/>
      <c r="O42" s="230"/>
      <c r="P42" s="282"/>
    </row>
    <row r="43" spans="1:16" ht="12.75" customHeight="1">
      <c r="A43" s="283">
        <v>32</v>
      </c>
      <c r="B43" s="64"/>
      <c r="C43" s="98" t="s">
        <v>358</v>
      </c>
      <c r="D43" s="229" t="s">
        <v>44</v>
      </c>
      <c r="E43" s="178">
        <v>1</v>
      </c>
      <c r="F43" s="230"/>
      <c r="G43" s="230"/>
      <c r="H43" s="230"/>
      <c r="I43" s="230"/>
      <c r="J43" s="67"/>
      <c r="K43" s="230"/>
      <c r="L43" s="230"/>
      <c r="M43" s="230"/>
      <c r="N43" s="230"/>
      <c r="O43" s="230"/>
      <c r="P43" s="282"/>
    </row>
    <row r="44" spans="1:16">
      <c r="A44" s="147">
        <v>33</v>
      </c>
      <c r="B44" s="10"/>
      <c r="C44" s="233" t="s">
        <v>359</v>
      </c>
      <c r="D44" s="229" t="s">
        <v>44</v>
      </c>
      <c r="E44" s="10">
        <v>1</v>
      </c>
      <c r="F44" s="230"/>
      <c r="G44" s="230"/>
      <c r="H44" s="230"/>
      <c r="I44" s="230"/>
      <c r="J44" s="67"/>
      <c r="K44" s="230"/>
      <c r="L44" s="230"/>
      <c r="M44" s="230"/>
      <c r="N44" s="230"/>
      <c r="O44" s="230"/>
      <c r="P44" s="282"/>
    </row>
    <row r="45" spans="1:16">
      <c r="A45" s="147">
        <v>34</v>
      </c>
      <c r="B45" s="10"/>
      <c r="C45" s="232" t="s">
        <v>394</v>
      </c>
      <c r="D45" s="229" t="s">
        <v>44</v>
      </c>
      <c r="E45" s="10">
        <v>13</v>
      </c>
      <c r="F45" s="230"/>
      <c r="G45" s="230"/>
      <c r="H45" s="230"/>
      <c r="I45" s="230"/>
      <c r="J45" s="67"/>
      <c r="K45" s="230"/>
      <c r="L45" s="230"/>
      <c r="M45" s="230"/>
      <c r="N45" s="230"/>
      <c r="O45" s="230"/>
      <c r="P45" s="282"/>
    </row>
    <row r="46" spans="1:16">
      <c r="A46" s="147">
        <v>35</v>
      </c>
      <c r="B46" s="10"/>
      <c r="C46" s="232" t="s">
        <v>395</v>
      </c>
      <c r="D46" s="229" t="s">
        <v>44</v>
      </c>
      <c r="E46" s="10">
        <v>12</v>
      </c>
      <c r="F46" s="230"/>
      <c r="G46" s="230"/>
      <c r="H46" s="230"/>
      <c r="I46" s="230"/>
      <c r="J46" s="67"/>
      <c r="K46" s="230"/>
      <c r="L46" s="230"/>
      <c r="M46" s="230"/>
      <c r="N46" s="230"/>
      <c r="O46" s="230"/>
      <c r="P46" s="282"/>
    </row>
    <row r="47" spans="1:16">
      <c r="A47" s="147">
        <v>36</v>
      </c>
      <c r="B47" s="10"/>
      <c r="C47" s="232" t="s">
        <v>396</v>
      </c>
      <c r="D47" s="229" t="s">
        <v>44</v>
      </c>
      <c r="E47" s="10">
        <v>1</v>
      </c>
      <c r="F47" s="230"/>
      <c r="G47" s="230"/>
      <c r="H47" s="230"/>
      <c r="I47" s="230"/>
      <c r="J47" s="67"/>
      <c r="K47" s="230"/>
      <c r="L47" s="230"/>
      <c r="M47" s="230"/>
      <c r="N47" s="230"/>
      <c r="O47" s="230"/>
      <c r="P47" s="282"/>
    </row>
    <row r="48" spans="1:16">
      <c r="A48" s="147">
        <v>37</v>
      </c>
      <c r="B48" s="10"/>
      <c r="C48" s="231" t="s">
        <v>397</v>
      </c>
      <c r="D48" s="229" t="s">
        <v>44</v>
      </c>
      <c r="E48" s="178">
        <v>1</v>
      </c>
      <c r="F48" s="230"/>
      <c r="G48" s="230"/>
      <c r="H48" s="230"/>
      <c r="I48" s="230"/>
      <c r="J48" s="67"/>
      <c r="K48" s="230"/>
      <c r="L48" s="230"/>
      <c r="M48" s="230"/>
      <c r="N48" s="230"/>
      <c r="O48" s="230"/>
      <c r="P48" s="282"/>
    </row>
    <row r="49" spans="1:18">
      <c r="A49" s="147">
        <v>38</v>
      </c>
      <c r="B49" s="10"/>
      <c r="C49" s="231" t="s">
        <v>398</v>
      </c>
      <c r="D49" s="229" t="s">
        <v>44</v>
      </c>
      <c r="E49" s="178">
        <v>1</v>
      </c>
      <c r="F49" s="230"/>
      <c r="G49" s="230"/>
      <c r="H49" s="230"/>
      <c r="I49" s="230"/>
      <c r="J49" s="67"/>
      <c r="K49" s="230"/>
      <c r="L49" s="230"/>
      <c r="M49" s="230"/>
      <c r="N49" s="230"/>
      <c r="O49" s="230"/>
      <c r="P49" s="282"/>
    </row>
    <row r="50" spans="1:18" ht="12.75" customHeight="1">
      <c r="A50" s="283">
        <v>39</v>
      </c>
      <c r="B50" s="64"/>
      <c r="C50" s="231" t="s">
        <v>399</v>
      </c>
      <c r="D50" s="229" t="s">
        <v>44</v>
      </c>
      <c r="E50" s="178">
        <v>1</v>
      </c>
      <c r="F50" s="230"/>
      <c r="G50" s="230"/>
      <c r="H50" s="230"/>
      <c r="I50" s="230"/>
      <c r="J50" s="67"/>
      <c r="K50" s="230"/>
      <c r="L50" s="230"/>
      <c r="M50" s="230"/>
      <c r="N50" s="230"/>
      <c r="O50" s="230"/>
      <c r="P50" s="282"/>
    </row>
    <row r="51" spans="1:18">
      <c r="A51" s="147">
        <v>40</v>
      </c>
      <c r="B51" s="10"/>
      <c r="C51" s="98" t="s">
        <v>401</v>
      </c>
      <c r="D51" s="229" t="s">
        <v>44</v>
      </c>
      <c r="E51" s="178">
        <v>14</v>
      </c>
      <c r="F51" s="230"/>
      <c r="G51" s="230"/>
      <c r="H51" s="230"/>
      <c r="I51" s="230"/>
      <c r="J51" s="67"/>
      <c r="K51" s="230"/>
      <c r="L51" s="230"/>
      <c r="M51" s="230"/>
      <c r="N51" s="230"/>
      <c r="O51" s="230"/>
      <c r="P51" s="282"/>
    </row>
    <row r="52" spans="1:18">
      <c r="A52" s="147">
        <v>41</v>
      </c>
      <c r="B52" s="10"/>
      <c r="C52" s="232" t="s">
        <v>402</v>
      </c>
      <c r="D52" s="229" t="s">
        <v>44</v>
      </c>
      <c r="E52" s="10">
        <v>13</v>
      </c>
      <c r="F52" s="230"/>
      <c r="G52" s="230"/>
      <c r="H52" s="230"/>
      <c r="I52" s="230"/>
      <c r="J52" s="67"/>
      <c r="K52" s="230"/>
      <c r="L52" s="230"/>
      <c r="M52" s="230"/>
      <c r="N52" s="230"/>
      <c r="O52" s="230"/>
      <c r="P52" s="282"/>
    </row>
    <row r="53" spans="1:18">
      <c r="A53" s="147">
        <v>42</v>
      </c>
      <c r="B53" s="10"/>
      <c r="C53" s="232" t="s">
        <v>403</v>
      </c>
      <c r="D53" s="229" t="s">
        <v>44</v>
      </c>
      <c r="E53" s="10">
        <v>9</v>
      </c>
      <c r="F53" s="230"/>
      <c r="G53" s="230"/>
      <c r="H53" s="230"/>
      <c r="I53" s="230"/>
      <c r="J53" s="67"/>
      <c r="K53" s="230"/>
      <c r="L53" s="230"/>
      <c r="M53" s="230"/>
      <c r="N53" s="230"/>
      <c r="O53" s="230"/>
      <c r="P53" s="282"/>
    </row>
    <row r="54" spans="1:18">
      <c r="A54" s="147">
        <v>43</v>
      </c>
      <c r="B54" s="10"/>
      <c r="C54" s="231" t="s">
        <v>404</v>
      </c>
      <c r="D54" s="229" t="s">
        <v>44</v>
      </c>
      <c r="E54" s="178">
        <v>6</v>
      </c>
      <c r="F54" s="230"/>
      <c r="G54" s="230"/>
      <c r="H54" s="230"/>
      <c r="I54" s="230"/>
      <c r="J54" s="67"/>
      <c r="K54" s="230"/>
      <c r="L54" s="230"/>
      <c r="M54" s="230"/>
      <c r="N54" s="230"/>
      <c r="O54" s="230"/>
      <c r="P54" s="282"/>
    </row>
    <row r="55" spans="1:18">
      <c r="A55" s="147">
        <v>44</v>
      </c>
      <c r="B55" s="10"/>
      <c r="C55" s="231" t="s">
        <v>400</v>
      </c>
      <c r="D55" s="229" t="s">
        <v>44</v>
      </c>
      <c r="E55" s="178">
        <v>4</v>
      </c>
      <c r="F55" s="230"/>
      <c r="G55" s="230"/>
      <c r="H55" s="230"/>
      <c r="I55" s="230"/>
      <c r="J55" s="67"/>
      <c r="K55" s="230"/>
      <c r="L55" s="230"/>
      <c r="M55" s="230"/>
      <c r="N55" s="230"/>
      <c r="O55" s="230"/>
      <c r="P55" s="282"/>
    </row>
    <row r="56" spans="1:18" ht="12.75" customHeight="1">
      <c r="A56" s="283">
        <v>45</v>
      </c>
      <c r="B56" s="64"/>
      <c r="C56" s="231" t="s">
        <v>405</v>
      </c>
      <c r="D56" s="229" t="s">
        <v>44</v>
      </c>
      <c r="E56" s="178">
        <v>4</v>
      </c>
      <c r="F56" s="230"/>
      <c r="G56" s="230"/>
      <c r="H56" s="230"/>
      <c r="I56" s="230"/>
      <c r="J56" s="67"/>
      <c r="K56" s="230"/>
      <c r="L56" s="230"/>
      <c r="M56" s="230"/>
      <c r="N56" s="230"/>
      <c r="O56" s="230"/>
      <c r="P56" s="282"/>
    </row>
    <row r="57" spans="1:18">
      <c r="A57" s="147">
        <v>46</v>
      </c>
      <c r="B57" s="10"/>
      <c r="C57" s="98" t="s">
        <v>406</v>
      </c>
      <c r="D57" s="87" t="s">
        <v>9</v>
      </c>
      <c r="E57" s="178">
        <v>30</v>
      </c>
      <c r="F57" s="230"/>
      <c r="G57" s="230"/>
      <c r="H57" s="230"/>
      <c r="I57" s="230"/>
      <c r="J57" s="67"/>
      <c r="K57" s="230"/>
      <c r="L57" s="230"/>
      <c r="M57" s="230"/>
      <c r="N57" s="230"/>
      <c r="O57" s="230"/>
      <c r="P57" s="282"/>
    </row>
    <row r="58" spans="1:18" ht="14.25" customHeight="1">
      <c r="A58" s="147">
        <v>47</v>
      </c>
      <c r="B58" s="10"/>
      <c r="C58" s="98" t="s">
        <v>407</v>
      </c>
      <c r="D58" s="229" t="s">
        <v>44</v>
      </c>
      <c r="E58" s="178">
        <v>1</v>
      </c>
      <c r="F58" s="230"/>
      <c r="G58" s="230"/>
      <c r="H58" s="230"/>
      <c r="I58" s="230"/>
      <c r="J58" s="67"/>
      <c r="K58" s="230"/>
      <c r="L58" s="230"/>
      <c r="M58" s="230"/>
      <c r="N58" s="230"/>
      <c r="O58" s="230"/>
      <c r="P58" s="282"/>
    </row>
    <row r="59" spans="1:18" ht="14.25" customHeight="1">
      <c r="A59" s="147">
        <v>48</v>
      </c>
      <c r="B59" s="10"/>
      <c r="C59" s="233" t="s">
        <v>408</v>
      </c>
      <c r="D59" s="229" t="s">
        <v>44</v>
      </c>
      <c r="E59" s="10">
        <v>1</v>
      </c>
      <c r="F59" s="230"/>
      <c r="G59" s="230"/>
      <c r="H59" s="230"/>
      <c r="I59" s="230"/>
      <c r="J59" s="67"/>
      <c r="K59" s="230"/>
      <c r="L59" s="230"/>
      <c r="M59" s="230"/>
      <c r="N59" s="230"/>
      <c r="O59" s="230"/>
      <c r="P59" s="282"/>
    </row>
    <row r="60" spans="1:18">
      <c r="A60" s="147">
        <v>49</v>
      </c>
      <c r="B60" s="10"/>
      <c r="C60" s="232" t="s">
        <v>360</v>
      </c>
      <c r="D60" s="229" t="s">
        <v>73</v>
      </c>
      <c r="E60" s="10">
        <v>1</v>
      </c>
      <c r="F60" s="230"/>
      <c r="G60" s="230"/>
      <c r="H60" s="230"/>
      <c r="I60" s="230"/>
      <c r="J60" s="67"/>
      <c r="K60" s="230"/>
      <c r="L60" s="230"/>
      <c r="M60" s="230"/>
      <c r="N60" s="230"/>
      <c r="O60" s="230"/>
      <c r="P60" s="282"/>
    </row>
    <row r="61" spans="1:18">
      <c r="A61" s="147">
        <v>50</v>
      </c>
      <c r="B61" s="10"/>
      <c r="C61" s="232" t="s">
        <v>409</v>
      </c>
      <c r="D61" s="229" t="s">
        <v>44</v>
      </c>
      <c r="E61" s="10">
        <v>1</v>
      </c>
      <c r="F61" s="230"/>
      <c r="G61" s="230"/>
      <c r="H61" s="230"/>
      <c r="I61" s="230"/>
      <c r="J61" s="67"/>
      <c r="K61" s="230"/>
      <c r="L61" s="230"/>
      <c r="M61" s="230"/>
      <c r="N61" s="230"/>
      <c r="O61" s="230"/>
      <c r="P61" s="282"/>
    </row>
    <row r="62" spans="1:18">
      <c r="A62" s="147">
        <v>51</v>
      </c>
      <c r="B62" s="10"/>
      <c r="C62" s="231" t="s">
        <v>410</v>
      </c>
      <c r="D62" s="229" t="s">
        <v>44</v>
      </c>
      <c r="E62" s="178">
        <v>1</v>
      </c>
      <c r="F62" s="230"/>
      <c r="G62" s="230"/>
      <c r="H62" s="230"/>
      <c r="I62" s="230"/>
      <c r="J62" s="67"/>
      <c r="K62" s="230"/>
      <c r="L62" s="230"/>
      <c r="M62" s="230"/>
      <c r="N62" s="230"/>
      <c r="O62" s="230"/>
      <c r="P62" s="282"/>
    </row>
    <row r="63" spans="1:18" ht="15">
      <c r="A63" s="189">
        <v>52</v>
      </c>
      <c r="B63" s="73"/>
      <c r="C63" s="231" t="s">
        <v>411</v>
      </c>
      <c r="D63" s="229" t="s">
        <v>44</v>
      </c>
      <c r="E63" s="178">
        <v>1</v>
      </c>
      <c r="F63" s="230"/>
      <c r="G63" s="230"/>
      <c r="H63" s="230"/>
      <c r="I63" s="230"/>
      <c r="J63" s="67"/>
      <c r="K63" s="230"/>
      <c r="L63" s="230"/>
      <c r="M63" s="230"/>
      <c r="N63" s="230"/>
      <c r="O63" s="230"/>
      <c r="P63" s="282"/>
      <c r="R63" s="57"/>
    </row>
    <row r="64" spans="1:18">
      <c r="A64" s="284">
        <v>53</v>
      </c>
      <c r="B64" s="276"/>
      <c r="C64" s="231" t="s">
        <v>412</v>
      </c>
      <c r="D64" s="229" t="s">
        <v>44</v>
      </c>
      <c r="E64" s="178">
        <v>1</v>
      </c>
      <c r="F64" s="230"/>
      <c r="G64" s="230"/>
      <c r="H64" s="230"/>
      <c r="I64" s="230"/>
      <c r="J64" s="67"/>
      <c r="K64" s="230"/>
      <c r="L64" s="230"/>
      <c r="M64" s="230"/>
      <c r="N64" s="230"/>
      <c r="O64" s="230"/>
      <c r="P64" s="282"/>
    </row>
    <row r="65" spans="1:16" ht="25.5">
      <c r="A65" s="284">
        <v>54</v>
      </c>
      <c r="B65" s="276"/>
      <c r="C65" s="98" t="s">
        <v>361</v>
      </c>
      <c r="D65" s="229" t="s">
        <v>73</v>
      </c>
      <c r="E65" s="73">
        <v>1</v>
      </c>
      <c r="F65" s="230"/>
      <c r="G65" s="230"/>
      <c r="H65" s="230"/>
      <c r="I65" s="230"/>
      <c r="J65" s="67"/>
      <c r="K65" s="230"/>
      <c r="L65" s="230"/>
      <c r="M65" s="230"/>
      <c r="N65" s="230"/>
      <c r="O65" s="230"/>
      <c r="P65" s="282"/>
    </row>
    <row r="66" spans="1:16" ht="38.25">
      <c r="A66" s="285">
        <v>55</v>
      </c>
      <c r="B66" s="277"/>
      <c r="C66" s="98" t="s">
        <v>362</v>
      </c>
      <c r="D66" s="229" t="s">
        <v>73</v>
      </c>
      <c r="E66" s="73">
        <v>1</v>
      </c>
      <c r="F66" s="230"/>
      <c r="G66" s="230"/>
      <c r="H66" s="230"/>
      <c r="I66" s="230"/>
      <c r="J66" s="67"/>
      <c r="K66" s="230"/>
      <c r="L66" s="230"/>
      <c r="M66" s="230"/>
      <c r="N66" s="230"/>
      <c r="O66" s="230"/>
      <c r="P66" s="282"/>
    </row>
    <row r="67" spans="1:16">
      <c r="A67" s="285">
        <v>56</v>
      </c>
      <c r="B67" s="277"/>
      <c r="C67" s="232" t="s">
        <v>363</v>
      </c>
      <c r="D67" s="229" t="s">
        <v>73</v>
      </c>
      <c r="E67" s="10">
        <v>1</v>
      </c>
      <c r="F67" s="230"/>
      <c r="G67" s="230"/>
      <c r="H67" s="230"/>
      <c r="I67" s="230"/>
      <c r="J67" s="67"/>
      <c r="K67" s="230"/>
      <c r="L67" s="230"/>
      <c r="M67" s="230"/>
      <c r="N67" s="230"/>
      <c r="O67" s="230"/>
      <c r="P67" s="282"/>
    </row>
    <row r="68" spans="1:16">
      <c r="A68" s="189">
        <v>57</v>
      </c>
      <c r="B68" s="73"/>
      <c r="C68" s="232" t="s">
        <v>364</v>
      </c>
      <c r="D68" s="229" t="s">
        <v>73</v>
      </c>
      <c r="E68" s="10">
        <v>1</v>
      </c>
      <c r="F68" s="230"/>
      <c r="G68" s="230"/>
      <c r="H68" s="230"/>
      <c r="I68" s="230"/>
      <c r="J68" s="67"/>
      <c r="K68" s="230"/>
      <c r="L68" s="230"/>
      <c r="M68" s="230"/>
      <c r="N68" s="230"/>
      <c r="O68" s="230"/>
      <c r="P68" s="282"/>
    </row>
    <row r="69" spans="1:16" ht="15" thickBot="1">
      <c r="A69" s="126"/>
      <c r="B69" s="127"/>
      <c r="C69" s="390" t="s">
        <v>97</v>
      </c>
      <c r="D69" s="390"/>
      <c r="E69" s="390"/>
      <c r="F69" s="390"/>
      <c r="G69" s="390"/>
      <c r="H69" s="390"/>
      <c r="I69" s="390"/>
      <c r="J69" s="390"/>
      <c r="K69" s="390"/>
      <c r="L69" s="153">
        <f>SUM(L12:L68)</f>
        <v>0</v>
      </c>
      <c r="M69" s="153">
        <f>SUM(M12:M68)</f>
        <v>0</v>
      </c>
      <c r="N69" s="153">
        <f>SUM(N12:N68)</f>
        <v>0</v>
      </c>
      <c r="O69" s="153">
        <f>SUM(O12:O68)</f>
        <v>0</v>
      </c>
      <c r="P69" s="154">
        <f>SUM(P12:P68)</f>
        <v>0</v>
      </c>
    </row>
    <row r="70" spans="1:16">
      <c r="A70" s="114"/>
      <c r="B70" s="114"/>
      <c r="C70" s="319"/>
      <c r="D70" s="319"/>
      <c r="E70" s="319"/>
      <c r="F70" s="319"/>
      <c r="G70" s="319"/>
      <c r="H70" s="319"/>
      <c r="I70" s="319"/>
      <c r="J70" s="319"/>
      <c r="K70" s="319"/>
      <c r="L70" s="116"/>
      <c r="M70" s="116"/>
      <c r="N70" s="116"/>
      <c r="O70" s="116"/>
      <c r="P70" s="116"/>
    </row>
    <row r="71" spans="1:16">
      <c r="A71" s="6"/>
      <c r="B71" s="6"/>
      <c r="C71" s="5" t="s">
        <v>21</v>
      </c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391"/>
      <c r="O71" s="391"/>
      <c r="P71" s="220"/>
    </row>
    <row r="72" spans="1:16">
      <c r="A72" s="5"/>
      <c r="B72" s="5"/>
      <c r="C72" s="3"/>
      <c r="D72" s="392" t="s">
        <v>22</v>
      </c>
      <c r="E72" s="392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4"/>
    </row>
    <row r="73" spans="1:16">
      <c r="A73" s="3"/>
      <c r="B73" s="3"/>
      <c r="C73" s="5" t="s">
        <v>23</v>
      </c>
      <c r="D73" s="354"/>
      <c r="E73" s="354"/>
      <c r="F73" s="354"/>
      <c r="G73" s="3"/>
      <c r="H73" s="3"/>
      <c r="I73" s="3"/>
      <c r="J73" s="3"/>
      <c r="K73" s="3"/>
      <c r="L73" s="3"/>
      <c r="M73" s="3"/>
      <c r="N73" s="3"/>
      <c r="O73" s="3"/>
      <c r="P73" s="4"/>
    </row>
    <row r="74" spans="1:16">
      <c r="P74" s="56"/>
    </row>
  </sheetData>
  <mergeCells count="22">
    <mergeCell ref="L6:N6"/>
    <mergeCell ref="O6:P6"/>
    <mergeCell ref="D71:O71"/>
    <mergeCell ref="D72:O72"/>
    <mergeCell ref="D73:F73"/>
    <mergeCell ref="L8:P8"/>
    <mergeCell ref="C69:K69"/>
    <mergeCell ref="A7:J7"/>
    <mergeCell ref="A8:A9"/>
    <mergeCell ref="B8:B9"/>
    <mergeCell ref="C8:C9"/>
    <mergeCell ref="D8:D9"/>
    <mergeCell ref="A4:K4"/>
    <mergeCell ref="E8:E9"/>
    <mergeCell ref="F8:K8"/>
    <mergeCell ref="A5:D5"/>
    <mergeCell ref="A6:H6"/>
    <mergeCell ref="L1:O1"/>
    <mergeCell ref="A2:C2"/>
    <mergeCell ref="L2:O2"/>
    <mergeCell ref="A3:D3"/>
    <mergeCell ref="L3:O3"/>
  </mergeCells>
  <conditionalFormatting sqref="D12:D16">
    <cfRule type="cellIs" dxfId="27" priority="11" stopIfTrue="1" operator="equal">
      <formula>0</formula>
    </cfRule>
    <cfRule type="expression" dxfId="26" priority="12" stopIfTrue="1">
      <formula>#N/A</formula>
    </cfRule>
  </conditionalFormatting>
  <conditionalFormatting sqref="D18:D70">
    <cfRule type="cellIs" dxfId="25" priority="1" stopIfTrue="1" operator="equal">
      <formula>0</formula>
    </cfRule>
    <cfRule type="expression" dxfId="24" priority="2" stopIfTrue="1">
      <formula>#N/A</formula>
    </cfRule>
  </conditionalFormatting>
  <hyperlinks>
    <hyperlink ref="L1" r:id="rId1" tooltip="Atvērt citā formātā" display="https://likumi.lv/wwwraksti/2017/103/BILDES/N_239/P5.DOCX" xr:uid="{629C7215-1887-411B-8D18-2800AAD6C0CC}"/>
  </hyperlinks>
  <pageMargins left="0.31496062992125984" right="0.31496062992125984" top="0.74803149606299213" bottom="0.55118110236220474" header="0.31496062992125984" footer="0.31496062992125984"/>
  <pageSetup paperSize="9" scale="85" orientation="landscape" r:id="rId2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FAAB8-4DFF-4C74-A41E-B4D82E98A711}">
  <dimension ref="A1:R71"/>
  <sheetViews>
    <sheetView zoomScale="130" zoomScaleNormal="130" workbookViewId="0">
      <selection activeCell="A5" sqref="A5:K5"/>
    </sheetView>
  </sheetViews>
  <sheetFormatPr defaultColWidth="9.140625" defaultRowHeight="14.25"/>
  <cols>
    <col min="1" max="1" width="6.28515625" style="1" customWidth="1"/>
    <col min="2" max="2" width="8.42578125" style="1" customWidth="1"/>
    <col min="3" max="3" width="43.28515625" style="1" customWidth="1"/>
    <col min="4" max="4" width="5.42578125" style="1" customWidth="1"/>
    <col min="5" max="5" width="7.28515625" style="1" customWidth="1"/>
    <col min="6" max="6" width="6.5703125" style="1" customWidth="1"/>
    <col min="7" max="9" width="8.85546875" style="1" customWidth="1"/>
    <col min="10" max="10" width="8.28515625" style="1" customWidth="1"/>
    <col min="11" max="11" width="8.7109375" style="1" customWidth="1"/>
    <col min="12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299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229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538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62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6" ht="15" thickBot="1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363"/>
      <c r="M8" s="363"/>
      <c r="N8" s="363"/>
      <c r="O8" s="364"/>
      <c r="P8" s="363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</row>
    <row r="10" spans="1:16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ht="1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28">
        <v>6</v>
      </c>
      <c r="G11" s="128">
        <v>7</v>
      </c>
      <c r="H11" s="128">
        <v>8</v>
      </c>
      <c r="I11" s="128">
        <v>9</v>
      </c>
      <c r="J11" s="128">
        <v>10</v>
      </c>
      <c r="K11" s="128">
        <v>11</v>
      </c>
      <c r="L11" s="128">
        <v>12</v>
      </c>
      <c r="M11" s="128">
        <v>13</v>
      </c>
      <c r="N11" s="128">
        <v>14</v>
      </c>
      <c r="O11" s="128">
        <v>15</v>
      </c>
      <c r="P11" s="129">
        <v>16</v>
      </c>
    </row>
    <row r="12" spans="1:16">
      <c r="A12" s="157"/>
      <c r="B12" s="139" t="s">
        <v>295</v>
      </c>
      <c r="C12" s="268" t="s">
        <v>231</v>
      </c>
      <c r="D12" s="269"/>
      <c r="E12" s="270"/>
      <c r="F12" s="271"/>
      <c r="G12" s="272"/>
      <c r="H12" s="272"/>
      <c r="I12" s="273"/>
      <c r="J12" s="271"/>
      <c r="K12" s="272"/>
      <c r="L12" s="272"/>
      <c r="M12" s="272"/>
      <c r="N12" s="272"/>
      <c r="O12" s="272"/>
      <c r="P12" s="274"/>
    </row>
    <row r="13" spans="1:16">
      <c r="A13" s="147"/>
      <c r="B13" s="10"/>
      <c r="C13" s="208" t="s">
        <v>232</v>
      </c>
      <c r="D13" s="10"/>
      <c r="E13" s="181"/>
      <c r="F13" s="204"/>
      <c r="G13" s="209"/>
      <c r="H13" s="209"/>
      <c r="I13" s="210"/>
      <c r="J13" s="204"/>
      <c r="K13" s="209"/>
      <c r="L13" s="209"/>
      <c r="M13" s="209"/>
      <c r="N13" s="209"/>
      <c r="O13" s="209"/>
      <c r="P13" s="275"/>
    </row>
    <row r="14" spans="1:16">
      <c r="A14" s="147">
        <v>1</v>
      </c>
      <c r="B14" s="10"/>
      <c r="C14" s="205" t="s">
        <v>233</v>
      </c>
      <c r="D14" s="203" t="s">
        <v>73</v>
      </c>
      <c r="E14" s="181">
        <v>1</v>
      </c>
      <c r="F14" s="66"/>
      <c r="G14" s="211"/>
      <c r="H14" s="211"/>
      <c r="I14" s="65"/>
      <c r="J14" s="67"/>
      <c r="K14" s="211"/>
      <c r="L14" s="211"/>
      <c r="M14" s="211"/>
      <c r="N14" s="211"/>
      <c r="O14" s="211"/>
      <c r="P14" s="263"/>
    </row>
    <row r="15" spans="1:16">
      <c r="A15" s="147">
        <v>2</v>
      </c>
      <c r="B15" s="10"/>
      <c r="C15" s="205" t="s">
        <v>234</v>
      </c>
      <c r="D15" s="203" t="s">
        <v>73</v>
      </c>
      <c r="E15" s="181">
        <v>1</v>
      </c>
      <c r="F15" s="66"/>
      <c r="G15" s="211"/>
      <c r="H15" s="211"/>
      <c r="I15" s="65"/>
      <c r="J15" s="67"/>
      <c r="K15" s="211"/>
      <c r="L15" s="211"/>
      <c r="M15" s="211"/>
      <c r="N15" s="211"/>
      <c r="O15" s="211"/>
      <c r="P15" s="263"/>
    </row>
    <row r="16" spans="1:16">
      <c r="A16" s="147">
        <v>3</v>
      </c>
      <c r="B16" s="10"/>
      <c r="C16" s="205" t="s">
        <v>235</v>
      </c>
      <c r="D16" s="203" t="s">
        <v>73</v>
      </c>
      <c r="E16" s="181">
        <v>2</v>
      </c>
      <c r="F16" s="66"/>
      <c r="G16" s="211"/>
      <c r="H16" s="211"/>
      <c r="I16" s="65"/>
      <c r="J16" s="67"/>
      <c r="K16" s="211"/>
      <c r="L16" s="211"/>
      <c r="M16" s="211"/>
      <c r="N16" s="211"/>
      <c r="O16" s="211"/>
      <c r="P16" s="263"/>
    </row>
    <row r="17" spans="1:16">
      <c r="A17" s="147">
        <v>4</v>
      </c>
      <c r="B17" s="10"/>
      <c r="C17" s="205" t="s">
        <v>296</v>
      </c>
      <c r="D17" s="203" t="s">
        <v>73</v>
      </c>
      <c r="E17" s="181">
        <v>1</v>
      </c>
      <c r="F17" s="66"/>
      <c r="G17" s="211"/>
      <c r="H17" s="211"/>
      <c r="I17" s="65"/>
      <c r="J17" s="67"/>
      <c r="K17" s="211"/>
      <c r="L17" s="211"/>
      <c r="M17" s="211"/>
      <c r="N17" s="211"/>
      <c r="O17" s="211"/>
      <c r="P17" s="263"/>
    </row>
    <row r="18" spans="1:16">
      <c r="A18" s="147"/>
      <c r="B18" s="10"/>
      <c r="C18" s="68" t="s">
        <v>237</v>
      </c>
      <c r="D18" s="203"/>
      <c r="E18" s="181"/>
      <c r="F18" s="66"/>
      <c r="G18" s="211"/>
      <c r="H18" s="211"/>
      <c r="I18" s="65"/>
      <c r="J18" s="67"/>
      <c r="K18" s="211"/>
      <c r="L18" s="211"/>
      <c r="M18" s="211"/>
      <c r="N18" s="211"/>
      <c r="O18" s="211"/>
      <c r="P18" s="263"/>
    </row>
    <row r="19" spans="1:16">
      <c r="A19" s="147">
        <v>5</v>
      </c>
      <c r="B19" s="10"/>
      <c r="C19" s="205" t="s">
        <v>238</v>
      </c>
      <c r="D19" s="203" t="s">
        <v>63</v>
      </c>
      <c r="E19" s="181">
        <v>260</v>
      </c>
      <c r="F19" s="66"/>
      <c r="G19" s="211"/>
      <c r="H19" s="211"/>
      <c r="I19" s="65"/>
      <c r="J19" s="67"/>
      <c r="K19" s="211"/>
      <c r="L19" s="211"/>
      <c r="M19" s="211"/>
      <c r="N19" s="211"/>
      <c r="O19" s="211"/>
      <c r="P19" s="263"/>
    </row>
    <row r="20" spans="1:16">
      <c r="A20" s="147">
        <v>6</v>
      </c>
      <c r="B20" s="62"/>
      <c r="C20" s="205" t="s">
        <v>239</v>
      </c>
      <c r="D20" s="203" t="s">
        <v>240</v>
      </c>
      <c r="E20" s="181">
        <v>730</v>
      </c>
      <c r="F20" s="66"/>
      <c r="G20" s="211"/>
      <c r="H20" s="211"/>
      <c r="I20" s="65"/>
      <c r="J20" s="67"/>
      <c r="K20" s="211"/>
      <c r="L20" s="211"/>
      <c r="M20" s="211"/>
      <c r="N20" s="211"/>
      <c r="O20" s="211"/>
      <c r="P20" s="263"/>
    </row>
    <row r="21" spans="1:16">
      <c r="A21" s="147">
        <v>7</v>
      </c>
      <c r="B21" s="10"/>
      <c r="C21" s="205" t="s">
        <v>241</v>
      </c>
      <c r="D21" s="203" t="s">
        <v>240</v>
      </c>
      <c r="E21" s="181">
        <v>785</v>
      </c>
      <c r="F21" s="66"/>
      <c r="G21" s="211"/>
      <c r="H21" s="211"/>
      <c r="I21" s="65"/>
      <c r="J21" s="67"/>
      <c r="K21" s="211"/>
      <c r="L21" s="211"/>
      <c r="M21" s="211"/>
      <c r="N21" s="211"/>
      <c r="O21" s="211"/>
      <c r="P21" s="263"/>
    </row>
    <row r="22" spans="1:16">
      <c r="A22" s="147">
        <v>8</v>
      </c>
      <c r="B22" s="10"/>
      <c r="C22" s="205" t="s">
        <v>242</v>
      </c>
      <c r="D22" s="203" t="s">
        <v>240</v>
      </c>
      <c r="E22" s="181">
        <v>250</v>
      </c>
      <c r="F22" s="66"/>
      <c r="G22" s="211"/>
      <c r="H22" s="211"/>
      <c r="I22" s="65"/>
      <c r="J22" s="67"/>
      <c r="K22" s="211"/>
      <c r="L22" s="211"/>
      <c r="M22" s="211"/>
      <c r="N22" s="211"/>
      <c r="O22" s="211"/>
      <c r="P22" s="263"/>
    </row>
    <row r="23" spans="1:16">
      <c r="A23" s="147">
        <v>9</v>
      </c>
      <c r="B23" s="10"/>
      <c r="C23" s="205" t="s">
        <v>243</v>
      </c>
      <c r="D23" s="203" t="s">
        <v>240</v>
      </c>
      <c r="E23" s="181">
        <v>655</v>
      </c>
      <c r="F23" s="66"/>
      <c r="G23" s="211"/>
      <c r="H23" s="211"/>
      <c r="I23" s="65"/>
      <c r="J23" s="67"/>
      <c r="K23" s="211"/>
      <c r="L23" s="211"/>
      <c r="M23" s="211"/>
      <c r="N23" s="211"/>
      <c r="O23" s="211"/>
      <c r="P23" s="263"/>
    </row>
    <row r="24" spans="1:16" ht="25.5">
      <c r="A24" s="147">
        <v>10</v>
      </c>
      <c r="B24" s="10"/>
      <c r="C24" s="98" t="s">
        <v>244</v>
      </c>
      <c r="D24" s="123" t="s">
        <v>63</v>
      </c>
      <c r="E24" s="181">
        <v>324</v>
      </c>
      <c r="F24" s="66"/>
      <c r="G24" s="211"/>
      <c r="H24" s="211"/>
      <c r="I24" s="65"/>
      <c r="J24" s="67"/>
      <c r="K24" s="211"/>
      <c r="L24" s="211"/>
      <c r="M24" s="211"/>
      <c r="N24" s="211"/>
      <c r="O24" s="211"/>
      <c r="P24" s="263"/>
    </row>
    <row r="25" spans="1:16">
      <c r="A25" s="147">
        <v>11</v>
      </c>
      <c r="B25" s="10"/>
      <c r="C25" s="205" t="s">
        <v>245</v>
      </c>
      <c r="D25" s="203" t="s">
        <v>44</v>
      </c>
      <c r="E25" s="181">
        <v>2</v>
      </c>
      <c r="F25" s="66"/>
      <c r="G25" s="211"/>
      <c r="H25" s="211"/>
      <c r="I25" s="65"/>
      <c r="J25" s="67"/>
      <c r="K25" s="211"/>
      <c r="L25" s="211"/>
      <c r="M25" s="211"/>
      <c r="N25" s="211"/>
      <c r="O25" s="211"/>
      <c r="P25" s="263"/>
    </row>
    <row r="26" spans="1:16">
      <c r="A26" s="147">
        <v>12</v>
      </c>
      <c r="B26" s="10"/>
      <c r="C26" s="98" t="s">
        <v>246</v>
      </c>
      <c r="D26" s="203" t="s">
        <v>44</v>
      </c>
      <c r="E26" s="181">
        <v>80</v>
      </c>
      <c r="F26" s="66"/>
      <c r="G26" s="211"/>
      <c r="H26" s="211"/>
      <c r="I26" s="65"/>
      <c r="J26" s="67"/>
      <c r="K26" s="211"/>
      <c r="L26" s="211"/>
      <c r="M26" s="211"/>
      <c r="N26" s="211"/>
      <c r="O26" s="211"/>
      <c r="P26" s="263"/>
    </row>
    <row r="27" spans="1:16">
      <c r="A27" s="147">
        <v>13</v>
      </c>
      <c r="B27" s="10"/>
      <c r="C27" s="98" t="s">
        <v>247</v>
      </c>
      <c r="D27" s="203" t="s">
        <v>73</v>
      </c>
      <c r="E27" s="181">
        <v>2</v>
      </c>
      <c r="F27" s="66"/>
      <c r="G27" s="211"/>
      <c r="H27" s="211"/>
      <c r="I27" s="65"/>
      <c r="J27" s="67"/>
      <c r="K27" s="211"/>
      <c r="L27" s="211"/>
      <c r="M27" s="211"/>
      <c r="N27" s="211"/>
      <c r="O27" s="211"/>
      <c r="P27" s="263"/>
    </row>
    <row r="28" spans="1:16" ht="25.5">
      <c r="A28" s="147">
        <v>14</v>
      </c>
      <c r="B28" s="62"/>
      <c r="C28" s="98" t="s">
        <v>248</v>
      </c>
      <c r="D28" s="123" t="s">
        <v>73</v>
      </c>
      <c r="E28" s="181">
        <v>1</v>
      </c>
      <c r="F28" s="66"/>
      <c r="G28" s="211"/>
      <c r="H28" s="211"/>
      <c r="I28" s="65"/>
      <c r="J28" s="67"/>
      <c r="K28" s="211"/>
      <c r="L28" s="211"/>
      <c r="M28" s="211"/>
      <c r="N28" s="211"/>
      <c r="O28" s="211"/>
      <c r="P28" s="263"/>
    </row>
    <row r="29" spans="1:16" ht="25.5">
      <c r="A29" s="147">
        <v>15</v>
      </c>
      <c r="B29" s="10"/>
      <c r="C29" s="98" t="s">
        <v>249</v>
      </c>
      <c r="D29" s="123" t="s">
        <v>63</v>
      </c>
      <c r="E29" s="181">
        <v>260</v>
      </c>
      <c r="F29" s="66"/>
      <c r="G29" s="211"/>
      <c r="H29" s="211"/>
      <c r="I29" s="65"/>
      <c r="J29" s="67"/>
      <c r="K29" s="211"/>
      <c r="L29" s="211"/>
      <c r="M29" s="211"/>
      <c r="N29" s="211"/>
      <c r="O29" s="211"/>
      <c r="P29" s="263"/>
    </row>
    <row r="30" spans="1:16">
      <c r="A30" s="147">
        <v>16</v>
      </c>
      <c r="B30" s="10"/>
      <c r="C30" s="205" t="s">
        <v>236</v>
      </c>
      <c r="D30" s="203" t="s">
        <v>73</v>
      </c>
      <c r="E30" s="181">
        <v>1</v>
      </c>
      <c r="F30" s="66"/>
      <c r="G30" s="211"/>
      <c r="H30" s="211"/>
      <c r="I30" s="65"/>
      <c r="J30" s="67"/>
      <c r="K30" s="211"/>
      <c r="L30" s="211"/>
      <c r="M30" s="211"/>
      <c r="N30" s="211"/>
      <c r="O30" s="211"/>
      <c r="P30" s="263"/>
    </row>
    <row r="31" spans="1:16">
      <c r="A31" s="147"/>
      <c r="B31" s="10"/>
      <c r="C31" s="68" t="s">
        <v>250</v>
      </c>
      <c r="D31" s="203"/>
      <c r="E31" s="181"/>
      <c r="F31" s="66"/>
      <c r="G31" s="211"/>
      <c r="H31" s="211"/>
      <c r="I31" s="65"/>
      <c r="J31" s="67"/>
      <c r="K31" s="211"/>
      <c r="L31" s="211"/>
      <c r="M31" s="211"/>
      <c r="N31" s="211"/>
      <c r="O31" s="211"/>
      <c r="P31" s="263"/>
    </row>
    <row r="32" spans="1:16" ht="63.75">
      <c r="A32" s="147">
        <v>17</v>
      </c>
      <c r="B32" s="10"/>
      <c r="C32" s="206" t="s">
        <v>251</v>
      </c>
      <c r="D32" s="123" t="s">
        <v>73</v>
      </c>
      <c r="E32" s="181">
        <v>17</v>
      </c>
      <c r="F32" s="66"/>
      <c r="G32" s="211"/>
      <c r="H32" s="211"/>
      <c r="I32" s="65"/>
      <c r="J32" s="67"/>
      <c r="K32" s="211"/>
      <c r="L32" s="211"/>
      <c r="M32" s="211"/>
      <c r="N32" s="211"/>
      <c r="O32" s="211"/>
      <c r="P32" s="263"/>
    </row>
    <row r="33" spans="1:16">
      <c r="A33" s="147">
        <v>18</v>
      </c>
      <c r="B33" s="10"/>
      <c r="C33" s="205" t="s">
        <v>252</v>
      </c>
      <c r="D33" s="203" t="s">
        <v>44</v>
      </c>
      <c r="E33" s="181">
        <v>4</v>
      </c>
      <c r="F33" s="66"/>
      <c r="G33" s="211"/>
      <c r="H33" s="211"/>
      <c r="I33" s="65"/>
      <c r="J33" s="67"/>
      <c r="K33" s="211"/>
      <c r="L33" s="211"/>
      <c r="M33" s="211"/>
      <c r="N33" s="211"/>
      <c r="O33" s="211"/>
      <c r="P33" s="263"/>
    </row>
    <row r="34" spans="1:16">
      <c r="A34" s="147">
        <v>19</v>
      </c>
      <c r="B34" s="10"/>
      <c r="C34" s="205" t="s">
        <v>253</v>
      </c>
      <c r="D34" s="203" t="s">
        <v>44</v>
      </c>
      <c r="E34" s="181">
        <v>2</v>
      </c>
      <c r="F34" s="66"/>
      <c r="G34" s="211"/>
      <c r="H34" s="211"/>
      <c r="I34" s="65"/>
      <c r="J34" s="67"/>
      <c r="K34" s="211"/>
      <c r="L34" s="211"/>
      <c r="M34" s="211"/>
      <c r="N34" s="211"/>
      <c r="O34" s="211"/>
      <c r="P34" s="263"/>
    </row>
    <row r="35" spans="1:16">
      <c r="A35" s="147">
        <v>20</v>
      </c>
      <c r="B35" s="10"/>
      <c r="C35" s="205" t="s">
        <v>254</v>
      </c>
      <c r="D35" s="203" t="s">
        <v>44</v>
      </c>
      <c r="E35" s="181">
        <v>12</v>
      </c>
      <c r="F35" s="66"/>
      <c r="G35" s="211"/>
      <c r="H35" s="211"/>
      <c r="I35" s="65"/>
      <c r="J35" s="67"/>
      <c r="K35" s="211"/>
      <c r="L35" s="211"/>
      <c r="M35" s="211"/>
      <c r="N35" s="211"/>
      <c r="O35" s="211"/>
      <c r="P35" s="263"/>
    </row>
    <row r="36" spans="1:16">
      <c r="A36" s="147">
        <v>21</v>
      </c>
      <c r="B36" s="62"/>
      <c r="C36" s="205" t="s">
        <v>255</v>
      </c>
      <c r="D36" s="203" t="s">
        <v>44</v>
      </c>
      <c r="E36" s="181">
        <v>8</v>
      </c>
      <c r="F36" s="66"/>
      <c r="G36" s="211"/>
      <c r="H36" s="211"/>
      <c r="I36" s="65"/>
      <c r="J36" s="67"/>
      <c r="K36" s="211"/>
      <c r="L36" s="211"/>
      <c r="M36" s="211"/>
      <c r="N36" s="211"/>
      <c r="O36" s="211"/>
      <c r="P36" s="263"/>
    </row>
    <row r="37" spans="1:16">
      <c r="A37" s="147">
        <v>22</v>
      </c>
      <c r="B37" s="10"/>
      <c r="C37" s="205" t="s">
        <v>256</v>
      </c>
      <c r="D37" s="203" t="s">
        <v>44</v>
      </c>
      <c r="E37" s="181">
        <v>12</v>
      </c>
      <c r="F37" s="66"/>
      <c r="G37" s="211"/>
      <c r="H37" s="211"/>
      <c r="I37" s="65"/>
      <c r="J37" s="67"/>
      <c r="K37" s="211"/>
      <c r="L37" s="211"/>
      <c r="M37" s="211"/>
      <c r="N37" s="211"/>
      <c r="O37" s="211"/>
      <c r="P37" s="263"/>
    </row>
    <row r="38" spans="1:16">
      <c r="A38" s="147">
        <v>23</v>
      </c>
      <c r="B38" s="10"/>
      <c r="C38" s="205" t="s">
        <v>257</v>
      </c>
      <c r="D38" s="203" t="s">
        <v>44</v>
      </c>
      <c r="E38" s="181">
        <v>16</v>
      </c>
      <c r="F38" s="66"/>
      <c r="G38" s="211"/>
      <c r="H38" s="211"/>
      <c r="I38" s="65"/>
      <c r="J38" s="67"/>
      <c r="K38" s="211"/>
      <c r="L38" s="211"/>
      <c r="M38" s="211"/>
      <c r="N38" s="211"/>
      <c r="O38" s="211"/>
      <c r="P38" s="263"/>
    </row>
    <row r="39" spans="1:16">
      <c r="A39" s="147">
        <v>24</v>
      </c>
      <c r="B39" s="10"/>
      <c r="C39" s="205" t="s">
        <v>258</v>
      </c>
      <c r="D39" s="203" t="s">
        <v>44</v>
      </c>
      <c r="E39" s="181">
        <v>10</v>
      </c>
      <c r="F39" s="66"/>
      <c r="G39" s="211"/>
      <c r="H39" s="211"/>
      <c r="I39" s="65"/>
      <c r="J39" s="67"/>
      <c r="K39" s="211"/>
      <c r="L39" s="211"/>
      <c r="M39" s="211"/>
      <c r="N39" s="211"/>
      <c r="O39" s="211"/>
      <c r="P39" s="263"/>
    </row>
    <row r="40" spans="1:16">
      <c r="A40" s="147">
        <v>25</v>
      </c>
      <c r="B40" s="10"/>
      <c r="C40" s="205" t="s">
        <v>259</v>
      </c>
      <c r="D40" s="203" t="s">
        <v>44</v>
      </c>
      <c r="E40" s="181">
        <v>4</v>
      </c>
      <c r="F40" s="66"/>
      <c r="G40" s="211"/>
      <c r="H40" s="211"/>
      <c r="I40" s="65"/>
      <c r="J40" s="67"/>
      <c r="K40" s="211"/>
      <c r="L40" s="211"/>
      <c r="M40" s="211"/>
      <c r="N40" s="211"/>
      <c r="O40" s="211"/>
      <c r="P40" s="263"/>
    </row>
    <row r="41" spans="1:16">
      <c r="A41" s="147">
        <v>26</v>
      </c>
      <c r="B41" s="10"/>
      <c r="C41" s="205" t="s">
        <v>260</v>
      </c>
      <c r="D41" s="203" t="s">
        <v>44</v>
      </c>
      <c r="E41" s="181">
        <v>6</v>
      </c>
      <c r="F41" s="66"/>
      <c r="G41" s="211"/>
      <c r="H41" s="211"/>
      <c r="I41" s="65"/>
      <c r="J41" s="67"/>
      <c r="K41" s="211"/>
      <c r="L41" s="211"/>
      <c r="M41" s="211"/>
      <c r="N41" s="211"/>
      <c r="O41" s="211"/>
      <c r="P41" s="263"/>
    </row>
    <row r="42" spans="1:16">
      <c r="A42" s="147">
        <v>27</v>
      </c>
      <c r="B42" s="10"/>
      <c r="C42" s="98" t="s">
        <v>236</v>
      </c>
      <c r="D42" s="10" t="s">
        <v>73</v>
      </c>
      <c r="E42" s="181">
        <v>1</v>
      </c>
      <c r="F42" s="66"/>
      <c r="G42" s="211"/>
      <c r="H42" s="211"/>
      <c r="I42" s="65"/>
      <c r="J42" s="67"/>
      <c r="K42" s="211"/>
      <c r="L42" s="211"/>
      <c r="M42" s="211"/>
      <c r="N42" s="211"/>
      <c r="O42" s="211"/>
      <c r="P42" s="263"/>
    </row>
    <row r="43" spans="1:16">
      <c r="A43" s="147"/>
      <c r="B43" s="10"/>
      <c r="C43" s="68" t="s">
        <v>261</v>
      </c>
      <c r="D43" s="203"/>
      <c r="E43" s="181"/>
      <c r="F43" s="66"/>
      <c r="G43" s="211"/>
      <c r="H43" s="211"/>
      <c r="I43" s="65"/>
      <c r="J43" s="67"/>
      <c r="K43" s="211"/>
      <c r="L43" s="211"/>
      <c r="M43" s="211"/>
      <c r="N43" s="211"/>
      <c r="O43" s="211"/>
      <c r="P43" s="263"/>
    </row>
    <row r="44" spans="1:16" ht="25.5">
      <c r="A44" s="147">
        <v>28</v>
      </c>
      <c r="B44" s="62"/>
      <c r="C44" s="200" t="s">
        <v>262</v>
      </c>
      <c r="D44" s="123" t="s">
        <v>44</v>
      </c>
      <c r="E44" s="181">
        <v>48</v>
      </c>
      <c r="F44" s="66"/>
      <c r="G44" s="211"/>
      <c r="H44" s="211"/>
      <c r="I44" s="65"/>
      <c r="J44" s="67"/>
      <c r="K44" s="211"/>
      <c r="L44" s="211"/>
      <c r="M44" s="211"/>
      <c r="N44" s="211"/>
      <c r="O44" s="211"/>
      <c r="P44" s="263"/>
    </row>
    <row r="45" spans="1:16" ht="25.5">
      <c r="A45" s="147">
        <v>29</v>
      </c>
      <c r="B45" s="10"/>
      <c r="C45" s="200" t="s">
        <v>263</v>
      </c>
      <c r="D45" s="123" t="s">
        <v>44</v>
      </c>
      <c r="E45" s="181">
        <v>8</v>
      </c>
      <c r="F45" s="66"/>
      <c r="G45" s="211"/>
      <c r="H45" s="211"/>
      <c r="I45" s="65"/>
      <c r="J45" s="67"/>
      <c r="K45" s="211"/>
      <c r="L45" s="211"/>
      <c r="M45" s="211"/>
      <c r="N45" s="211"/>
      <c r="O45" s="211"/>
      <c r="P45" s="263"/>
    </row>
    <row r="46" spans="1:16" ht="25.5">
      <c r="A46" s="147">
        <v>30</v>
      </c>
      <c r="B46" s="10"/>
      <c r="C46" s="200" t="s">
        <v>264</v>
      </c>
      <c r="D46" s="123" t="s">
        <v>44</v>
      </c>
      <c r="E46" s="181">
        <v>14</v>
      </c>
      <c r="F46" s="66"/>
      <c r="G46" s="211"/>
      <c r="H46" s="211"/>
      <c r="I46" s="65"/>
      <c r="J46" s="67"/>
      <c r="K46" s="211"/>
      <c r="L46" s="211"/>
      <c r="M46" s="211"/>
      <c r="N46" s="211"/>
      <c r="O46" s="211"/>
      <c r="P46" s="263"/>
    </row>
    <row r="47" spans="1:16" ht="25.5">
      <c r="A47" s="147">
        <v>31</v>
      </c>
      <c r="B47" s="10"/>
      <c r="C47" s="200" t="s">
        <v>265</v>
      </c>
      <c r="D47" s="123" t="s">
        <v>44</v>
      </c>
      <c r="E47" s="181">
        <v>6</v>
      </c>
      <c r="F47" s="66"/>
      <c r="G47" s="211"/>
      <c r="H47" s="211"/>
      <c r="I47" s="65"/>
      <c r="J47" s="67"/>
      <c r="K47" s="211"/>
      <c r="L47" s="211"/>
      <c r="M47" s="211"/>
      <c r="N47" s="211"/>
      <c r="O47" s="211"/>
      <c r="P47" s="263"/>
    </row>
    <row r="48" spans="1:16" ht="25.5">
      <c r="A48" s="147">
        <v>32</v>
      </c>
      <c r="B48" s="10"/>
      <c r="C48" s="200" t="s">
        <v>266</v>
      </c>
      <c r="D48" s="123" t="s">
        <v>44</v>
      </c>
      <c r="E48" s="181">
        <v>64</v>
      </c>
      <c r="F48" s="66"/>
      <c r="G48" s="211"/>
      <c r="H48" s="211"/>
      <c r="I48" s="65"/>
      <c r="J48" s="67"/>
      <c r="K48" s="211"/>
      <c r="L48" s="211"/>
      <c r="M48" s="211"/>
      <c r="N48" s="211"/>
      <c r="O48" s="211"/>
      <c r="P48" s="263"/>
    </row>
    <row r="49" spans="1:18" ht="25.5">
      <c r="A49" s="147">
        <v>33</v>
      </c>
      <c r="B49" s="10"/>
      <c r="C49" s="200" t="s">
        <v>267</v>
      </c>
      <c r="D49" s="123" t="s">
        <v>44</v>
      </c>
      <c r="E49" s="181">
        <v>6</v>
      </c>
      <c r="F49" s="66"/>
      <c r="G49" s="211"/>
      <c r="H49" s="211"/>
      <c r="I49" s="65"/>
      <c r="J49" s="67"/>
      <c r="K49" s="211"/>
      <c r="L49" s="211"/>
      <c r="M49" s="211"/>
      <c r="N49" s="211"/>
      <c r="O49" s="211"/>
      <c r="P49" s="263"/>
    </row>
    <row r="50" spans="1:18" ht="24" customHeight="1">
      <c r="A50" s="147">
        <v>34</v>
      </c>
      <c r="B50" s="10"/>
      <c r="C50" s="200" t="s">
        <v>268</v>
      </c>
      <c r="D50" s="123" t="s">
        <v>73</v>
      </c>
      <c r="E50" s="181">
        <v>12</v>
      </c>
      <c r="F50" s="66"/>
      <c r="G50" s="211"/>
      <c r="H50" s="211"/>
      <c r="I50" s="65"/>
      <c r="J50" s="67"/>
      <c r="K50" s="211"/>
      <c r="L50" s="211"/>
      <c r="M50" s="211"/>
      <c r="N50" s="211"/>
      <c r="O50" s="211"/>
      <c r="P50" s="263"/>
    </row>
    <row r="51" spans="1:18" ht="38.25">
      <c r="A51" s="147">
        <v>35</v>
      </c>
      <c r="B51" s="10"/>
      <c r="C51" s="200" t="s">
        <v>269</v>
      </c>
      <c r="D51" s="123" t="s">
        <v>44</v>
      </c>
      <c r="E51" s="181">
        <v>4</v>
      </c>
      <c r="F51" s="66"/>
      <c r="G51" s="211"/>
      <c r="H51" s="211"/>
      <c r="I51" s="65"/>
      <c r="J51" s="67"/>
      <c r="K51" s="211"/>
      <c r="L51" s="211"/>
      <c r="M51" s="211"/>
      <c r="N51" s="211"/>
      <c r="O51" s="211"/>
      <c r="P51" s="263"/>
    </row>
    <row r="52" spans="1:18" ht="25.5">
      <c r="A52" s="147">
        <v>36</v>
      </c>
      <c r="B52" s="62"/>
      <c r="C52" s="200" t="s">
        <v>270</v>
      </c>
      <c r="D52" s="123" t="s">
        <v>44</v>
      </c>
      <c r="E52" s="181">
        <v>11</v>
      </c>
      <c r="F52" s="66"/>
      <c r="G52" s="211"/>
      <c r="H52" s="211"/>
      <c r="I52" s="65"/>
      <c r="J52" s="67"/>
      <c r="K52" s="211"/>
      <c r="L52" s="211"/>
      <c r="M52" s="211"/>
      <c r="N52" s="211"/>
      <c r="O52" s="211"/>
      <c r="P52" s="263"/>
    </row>
    <row r="53" spans="1:18" ht="38.25">
      <c r="A53" s="147">
        <v>37</v>
      </c>
      <c r="B53" s="10"/>
      <c r="C53" s="200" t="s">
        <v>271</v>
      </c>
      <c r="D53" s="123" t="s">
        <v>44</v>
      </c>
      <c r="E53" s="181">
        <v>11</v>
      </c>
      <c r="F53" s="66"/>
      <c r="G53" s="211"/>
      <c r="H53" s="211"/>
      <c r="I53" s="65"/>
      <c r="J53" s="67"/>
      <c r="K53" s="211"/>
      <c r="L53" s="211"/>
      <c r="M53" s="211"/>
      <c r="N53" s="211"/>
      <c r="O53" s="211"/>
      <c r="P53" s="263"/>
    </row>
    <row r="54" spans="1:18" ht="25.5">
      <c r="A54" s="147">
        <v>38</v>
      </c>
      <c r="B54" s="10"/>
      <c r="C54" s="200" t="s">
        <v>272</v>
      </c>
      <c r="D54" s="123" t="s">
        <v>44</v>
      </c>
      <c r="E54" s="181">
        <v>6</v>
      </c>
      <c r="F54" s="66"/>
      <c r="G54" s="211"/>
      <c r="H54" s="211"/>
      <c r="I54" s="65"/>
      <c r="J54" s="67"/>
      <c r="K54" s="211"/>
      <c r="L54" s="211"/>
      <c r="M54" s="211"/>
      <c r="N54" s="211"/>
      <c r="O54" s="211"/>
      <c r="P54" s="263"/>
    </row>
    <row r="55" spans="1:18" ht="25.5">
      <c r="A55" s="147">
        <v>39</v>
      </c>
      <c r="B55" s="10"/>
      <c r="C55" s="200" t="s">
        <v>273</v>
      </c>
      <c r="D55" s="123" t="s">
        <v>44</v>
      </c>
      <c r="E55" s="181">
        <v>2</v>
      </c>
      <c r="F55" s="66"/>
      <c r="G55" s="211"/>
      <c r="H55" s="211"/>
      <c r="I55" s="65"/>
      <c r="J55" s="67"/>
      <c r="K55" s="211"/>
      <c r="L55" s="211"/>
      <c r="M55" s="211"/>
      <c r="N55" s="211"/>
      <c r="O55" s="211"/>
      <c r="P55" s="263"/>
    </row>
    <row r="56" spans="1:18" ht="25.5">
      <c r="A56" s="147">
        <v>40</v>
      </c>
      <c r="B56" s="10"/>
      <c r="C56" s="200" t="s">
        <v>274</v>
      </c>
      <c r="D56" s="123" t="s">
        <v>44</v>
      </c>
      <c r="E56" s="181">
        <v>2</v>
      </c>
      <c r="F56" s="66"/>
      <c r="G56" s="211"/>
      <c r="H56" s="211"/>
      <c r="I56" s="65"/>
      <c r="J56" s="67"/>
      <c r="K56" s="211"/>
      <c r="L56" s="211"/>
      <c r="M56" s="211"/>
      <c r="N56" s="211"/>
      <c r="O56" s="211"/>
      <c r="P56" s="263"/>
    </row>
    <row r="57" spans="1:18">
      <c r="A57" s="147">
        <v>41</v>
      </c>
      <c r="B57" s="10"/>
      <c r="C57" s="205" t="s">
        <v>275</v>
      </c>
      <c r="D57" s="123" t="s">
        <v>44</v>
      </c>
      <c r="E57" s="181">
        <v>17</v>
      </c>
      <c r="F57" s="66"/>
      <c r="G57" s="211"/>
      <c r="H57" s="211"/>
      <c r="I57" s="65"/>
      <c r="J57" s="67"/>
      <c r="K57" s="211"/>
      <c r="L57" s="211"/>
      <c r="M57" s="211"/>
      <c r="N57" s="211"/>
      <c r="O57" s="211"/>
      <c r="P57" s="263"/>
    </row>
    <row r="58" spans="1:18">
      <c r="A58" s="147">
        <v>42</v>
      </c>
      <c r="B58" s="10"/>
      <c r="C58" s="205" t="s">
        <v>276</v>
      </c>
      <c r="D58" s="123" t="s">
        <v>44</v>
      </c>
      <c r="E58" s="181">
        <v>22</v>
      </c>
      <c r="F58" s="66"/>
      <c r="G58" s="211"/>
      <c r="H58" s="211"/>
      <c r="I58" s="65"/>
      <c r="J58" s="67"/>
      <c r="K58" s="211"/>
      <c r="L58" s="211"/>
      <c r="M58" s="211"/>
      <c r="N58" s="211"/>
      <c r="O58" s="211"/>
      <c r="P58" s="263"/>
    </row>
    <row r="59" spans="1:18">
      <c r="A59" s="147">
        <v>43</v>
      </c>
      <c r="B59" s="10"/>
      <c r="C59" s="205" t="s">
        <v>277</v>
      </c>
      <c r="D59" s="123" t="s">
        <v>44</v>
      </c>
      <c r="E59" s="181">
        <v>2</v>
      </c>
      <c r="F59" s="66"/>
      <c r="G59" s="211"/>
      <c r="H59" s="211"/>
      <c r="I59" s="65"/>
      <c r="J59" s="67"/>
      <c r="K59" s="211"/>
      <c r="L59" s="211"/>
      <c r="M59" s="211"/>
      <c r="N59" s="211"/>
      <c r="O59" s="211"/>
      <c r="P59" s="263"/>
    </row>
    <row r="60" spans="1:18">
      <c r="A60" s="147">
        <v>44</v>
      </c>
      <c r="B60" s="62"/>
      <c r="C60" s="205" t="s">
        <v>278</v>
      </c>
      <c r="D60" s="123" t="s">
        <v>44</v>
      </c>
      <c r="E60" s="181">
        <v>16</v>
      </c>
      <c r="F60" s="66"/>
      <c r="G60" s="211"/>
      <c r="H60" s="211"/>
      <c r="I60" s="65"/>
      <c r="J60" s="67"/>
      <c r="K60" s="211"/>
      <c r="L60" s="211"/>
      <c r="M60" s="211"/>
      <c r="N60" s="211"/>
      <c r="O60" s="211"/>
      <c r="P60" s="263"/>
    </row>
    <row r="61" spans="1:18">
      <c r="A61" s="147">
        <v>45</v>
      </c>
      <c r="B61" s="10"/>
      <c r="C61" s="98" t="s">
        <v>236</v>
      </c>
      <c r="D61" s="203" t="s">
        <v>73</v>
      </c>
      <c r="E61" s="181">
        <v>1</v>
      </c>
      <c r="F61" s="66"/>
      <c r="G61" s="211"/>
      <c r="H61" s="211"/>
      <c r="I61" s="65"/>
      <c r="J61" s="67"/>
      <c r="K61" s="211"/>
      <c r="L61" s="211"/>
      <c r="M61" s="211"/>
      <c r="N61" s="211"/>
      <c r="O61" s="211"/>
      <c r="P61" s="263"/>
    </row>
    <row r="62" spans="1:18" ht="15" thickBot="1">
      <c r="A62" s="126"/>
      <c r="B62" s="127"/>
      <c r="C62" s="390" t="s">
        <v>97</v>
      </c>
      <c r="D62" s="390"/>
      <c r="E62" s="390"/>
      <c r="F62" s="390"/>
      <c r="G62" s="390"/>
      <c r="H62" s="390"/>
      <c r="I62" s="390"/>
      <c r="J62" s="390"/>
      <c r="K62" s="390"/>
      <c r="L62" s="153">
        <f>SUM(L14:L61)</f>
        <v>0</v>
      </c>
      <c r="M62" s="153">
        <f>SUM(M14:M61)</f>
        <v>0</v>
      </c>
      <c r="N62" s="153">
        <f>SUM(N14:N61)</f>
        <v>0</v>
      </c>
      <c r="O62" s="153">
        <f>SUM(O14:O61)</f>
        <v>0</v>
      </c>
      <c r="P62" s="154">
        <f>SUM(P14:P61)</f>
        <v>0</v>
      </c>
    </row>
    <row r="63" spans="1:18" ht="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59"/>
      <c r="R63" s="57"/>
    </row>
    <row r="64" spans="1:18">
      <c r="A64" s="6"/>
      <c r="B64" s="6"/>
      <c r="C64" s="5" t="s">
        <v>21</v>
      </c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4"/>
    </row>
    <row r="65" spans="1:16">
      <c r="A65" s="5"/>
      <c r="B65" s="5"/>
      <c r="C65" s="3"/>
      <c r="D65" s="392" t="s">
        <v>22</v>
      </c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4"/>
    </row>
    <row r="66" spans="1:16">
      <c r="A66" s="3"/>
      <c r="B66" s="3"/>
      <c r="C66" s="5" t="s">
        <v>23</v>
      </c>
      <c r="D66" s="354"/>
      <c r="E66" s="354"/>
      <c r="F66" s="354"/>
      <c r="G66" s="3"/>
      <c r="H66" s="3"/>
      <c r="I66" s="3"/>
      <c r="J66" s="3"/>
      <c r="K66" s="3"/>
      <c r="L66" s="3"/>
      <c r="M66" s="3"/>
      <c r="N66" s="3"/>
      <c r="O66" s="3"/>
      <c r="P66" s="4"/>
    </row>
    <row r="67" spans="1:16">
      <c r="A67" s="3"/>
      <c r="B67" s="3"/>
      <c r="C67" s="5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4"/>
    </row>
    <row r="68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</sheetData>
  <mergeCells count="24">
    <mergeCell ref="D66:F66"/>
    <mergeCell ref="A8:J8"/>
    <mergeCell ref="A9:A10"/>
    <mergeCell ref="B9:B10"/>
    <mergeCell ref="C9:C10"/>
    <mergeCell ref="D9:D10"/>
    <mergeCell ref="E9:E10"/>
    <mergeCell ref="O7:P7"/>
    <mergeCell ref="L9:P9"/>
    <mergeCell ref="C62:K62"/>
    <mergeCell ref="D64:O64"/>
    <mergeCell ref="D65:O65"/>
    <mergeCell ref="L8:N8"/>
    <mergeCell ref="O8:P8"/>
    <mergeCell ref="A5:K5"/>
    <mergeCell ref="F9:K9"/>
    <mergeCell ref="A6:D6"/>
    <mergeCell ref="A7:H7"/>
    <mergeCell ref="L7:N7"/>
    <mergeCell ref="L1:O1"/>
    <mergeCell ref="A2:C2"/>
    <mergeCell ref="L2:O2"/>
    <mergeCell ref="A3:D3"/>
    <mergeCell ref="L3:O3"/>
  </mergeCells>
  <conditionalFormatting sqref="D13:D19">
    <cfRule type="cellIs" dxfId="23" priority="13" stopIfTrue="1" operator="equal">
      <formula>0</formula>
    </cfRule>
    <cfRule type="expression" dxfId="22" priority="14" stopIfTrue="1">
      <formula>#N/A</formula>
    </cfRule>
  </conditionalFormatting>
  <conditionalFormatting sqref="D21:D43">
    <cfRule type="cellIs" dxfId="21" priority="7" stopIfTrue="1" operator="equal">
      <formula>0</formula>
    </cfRule>
    <cfRule type="expression" dxfId="20" priority="8" stopIfTrue="1">
      <formula>#N/A</formula>
    </cfRule>
  </conditionalFormatting>
  <conditionalFormatting sqref="D50:D62">
    <cfRule type="cellIs" dxfId="19" priority="3" stopIfTrue="1" operator="equal">
      <formula>0</formula>
    </cfRule>
    <cfRule type="expression" dxfId="18" priority="4" stopIfTrue="1">
      <formula>#N/A</formula>
    </cfRule>
  </conditionalFormatting>
  <hyperlinks>
    <hyperlink ref="L1" r:id="rId1" tooltip="Atvērt citā formātā" display="https://likumi.lv/wwwraksti/2017/103/BILDES/N_239/P5.DOCX" xr:uid="{17169276-03E5-49A0-8DE4-2FF1B58CF4CB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0B5B-EB6A-4AC3-8D9F-C698F74781AC}">
  <dimension ref="A1:R37"/>
  <sheetViews>
    <sheetView zoomScale="130" zoomScaleNormal="130" workbookViewId="0">
      <selection activeCell="A6" sqref="A6:D6"/>
    </sheetView>
  </sheetViews>
  <sheetFormatPr defaultColWidth="9.140625" defaultRowHeight="14.25"/>
  <cols>
    <col min="1" max="1" width="6" style="1" customWidth="1"/>
    <col min="2" max="2" width="8.42578125" style="1" customWidth="1"/>
    <col min="3" max="3" width="43.28515625" style="1" customWidth="1"/>
    <col min="4" max="4" width="5.42578125" style="1" customWidth="1"/>
    <col min="5" max="5" width="7.28515625" style="1" customWidth="1"/>
    <col min="6" max="6" width="7" style="1" customWidth="1"/>
    <col min="7" max="9" width="8.85546875" style="1" customWidth="1"/>
    <col min="10" max="10" width="8.28515625" style="1" customWidth="1"/>
    <col min="11" max="11" width="8.7109375" style="1" customWidth="1"/>
    <col min="12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323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298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62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6" ht="15" thickBot="1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</row>
    <row r="10" spans="1:16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ht="1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28">
        <v>6</v>
      </c>
      <c r="G11" s="128">
        <v>7</v>
      </c>
      <c r="H11" s="128">
        <v>8</v>
      </c>
      <c r="I11" s="128">
        <v>9</v>
      </c>
      <c r="J11" s="128">
        <v>10</v>
      </c>
      <c r="K11" s="128">
        <v>11</v>
      </c>
      <c r="L11" s="128">
        <v>12</v>
      </c>
      <c r="M11" s="128">
        <v>13</v>
      </c>
      <c r="N11" s="128">
        <v>14</v>
      </c>
      <c r="O11" s="128">
        <v>15</v>
      </c>
      <c r="P11" s="129">
        <v>16</v>
      </c>
    </row>
    <row r="12" spans="1:16">
      <c r="A12" s="138"/>
      <c r="B12" s="190"/>
      <c r="C12" s="158" t="s">
        <v>279</v>
      </c>
      <c r="D12" s="264"/>
      <c r="E12" s="265"/>
      <c r="F12" s="145"/>
      <c r="G12" s="266"/>
      <c r="H12" s="266"/>
      <c r="I12" s="151"/>
      <c r="J12" s="196"/>
      <c r="K12" s="266"/>
      <c r="L12" s="266"/>
      <c r="M12" s="266"/>
      <c r="N12" s="266"/>
      <c r="O12" s="266"/>
      <c r="P12" s="267"/>
    </row>
    <row r="13" spans="1:16">
      <c r="A13" s="147">
        <v>1</v>
      </c>
      <c r="B13" s="10"/>
      <c r="C13" s="98" t="s">
        <v>280</v>
      </c>
      <c r="D13" s="10" t="s">
        <v>63</v>
      </c>
      <c r="E13" s="204">
        <v>275</v>
      </c>
      <c r="F13" s="66"/>
      <c r="G13" s="211"/>
      <c r="H13" s="211"/>
      <c r="I13" s="65"/>
      <c r="J13" s="67"/>
      <c r="K13" s="211"/>
      <c r="L13" s="211"/>
      <c r="M13" s="211"/>
      <c r="N13" s="211"/>
      <c r="O13" s="211"/>
      <c r="P13" s="263"/>
    </row>
    <row r="14" spans="1:16">
      <c r="A14" s="147">
        <v>2</v>
      </c>
      <c r="B14" s="10"/>
      <c r="C14" s="207" t="s">
        <v>281</v>
      </c>
      <c r="D14" s="124" t="s">
        <v>44</v>
      </c>
      <c r="E14" s="181">
        <v>250</v>
      </c>
      <c r="F14" s="66"/>
      <c r="G14" s="211"/>
      <c r="H14" s="211"/>
      <c r="I14" s="65"/>
      <c r="J14" s="67"/>
      <c r="K14" s="211"/>
      <c r="L14" s="211"/>
      <c r="M14" s="211"/>
      <c r="N14" s="211"/>
      <c r="O14" s="211"/>
      <c r="P14" s="263"/>
    </row>
    <row r="15" spans="1:16">
      <c r="A15" s="147">
        <v>3</v>
      </c>
      <c r="B15" s="10"/>
      <c r="C15" s="207" t="s">
        <v>282</v>
      </c>
      <c r="D15" s="124" t="s">
        <v>44</v>
      </c>
      <c r="E15" s="181">
        <v>30</v>
      </c>
      <c r="F15" s="66"/>
      <c r="G15" s="211"/>
      <c r="H15" s="211"/>
      <c r="I15" s="65"/>
      <c r="J15" s="67"/>
      <c r="K15" s="211"/>
      <c r="L15" s="211"/>
      <c r="M15" s="211"/>
      <c r="N15" s="211"/>
      <c r="O15" s="211"/>
      <c r="P15" s="263"/>
    </row>
    <row r="16" spans="1:16">
      <c r="A16" s="147">
        <v>4</v>
      </c>
      <c r="B16" s="10"/>
      <c r="C16" s="207" t="s">
        <v>283</v>
      </c>
      <c r="D16" s="124" t="s">
        <v>44</v>
      </c>
      <c r="E16" s="181">
        <v>80</v>
      </c>
      <c r="F16" s="66"/>
      <c r="G16" s="211"/>
      <c r="H16" s="211"/>
      <c r="I16" s="65"/>
      <c r="J16" s="67"/>
      <c r="K16" s="211"/>
      <c r="L16" s="211"/>
      <c r="M16" s="211"/>
      <c r="N16" s="211"/>
      <c r="O16" s="211"/>
      <c r="P16" s="263"/>
    </row>
    <row r="17" spans="1:18">
      <c r="A17" s="147">
        <v>5</v>
      </c>
      <c r="B17" s="10"/>
      <c r="C17" s="207" t="s">
        <v>284</v>
      </c>
      <c r="D17" s="124" t="s">
        <v>44</v>
      </c>
      <c r="E17" s="181">
        <v>30</v>
      </c>
      <c r="F17" s="66"/>
      <c r="G17" s="211"/>
      <c r="H17" s="211"/>
      <c r="I17" s="65"/>
      <c r="J17" s="67"/>
      <c r="K17" s="211"/>
      <c r="L17" s="211"/>
      <c r="M17" s="211"/>
      <c r="N17" s="211"/>
      <c r="O17" s="211"/>
      <c r="P17" s="263"/>
    </row>
    <row r="18" spans="1:18">
      <c r="A18" s="255">
        <v>6</v>
      </c>
      <c r="B18" s="62"/>
      <c r="C18" s="98" t="s">
        <v>285</v>
      </c>
      <c r="D18" s="124" t="s">
        <v>44</v>
      </c>
      <c r="E18" s="181">
        <v>75</v>
      </c>
      <c r="F18" s="66"/>
      <c r="G18" s="211"/>
      <c r="H18" s="211"/>
      <c r="I18" s="65"/>
      <c r="J18" s="67"/>
      <c r="K18" s="211"/>
      <c r="L18" s="211"/>
      <c r="M18" s="211"/>
      <c r="N18" s="211"/>
      <c r="O18" s="211"/>
      <c r="P18" s="263"/>
    </row>
    <row r="19" spans="1:18">
      <c r="A19" s="147">
        <v>7</v>
      </c>
      <c r="B19" s="10"/>
      <c r="C19" s="98" t="s">
        <v>286</v>
      </c>
      <c r="D19" s="124" t="s">
        <v>44</v>
      </c>
      <c r="E19" s="181">
        <v>6</v>
      </c>
      <c r="F19" s="66"/>
      <c r="G19" s="211"/>
      <c r="H19" s="211"/>
      <c r="I19" s="65"/>
      <c r="J19" s="67"/>
      <c r="K19" s="211"/>
      <c r="L19" s="211"/>
      <c r="M19" s="211"/>
      <c r="N19" s="211"/>
      <c r="O19" s="211"/>
      <c r="P19" s="263"/>
    </row>
    <row r="20" spans="1:18">
      <c r="A20" s="147">
        <v>8</v>
      </c>
      <c r="B20" s="10"/>
      <c r="C20" s="98" t="s">
        <v>287</v>
      </c>
      <c r="D20" s="124" t="s">
        <v>44</v>
      </c>
      <c r="E20" s="181">
        <v>14</v>
      </c>
      <c r="F20" s="66"/>
      <c r="G20" s="211"/>
      <c r="H20" s="211"/>
      <c r="I20" s="65"/>
      <c r="J20" s="67"/>
      <c r="K20" s="211"/>
      <c r="L20" s="211"/>
      <c r="M20" s="211"/>
      <c r="N20" s="211"/>
      <c r="O20" s="211"/>
      <c r="P20" s="263"/>
    </row>
    <row r="21" spans="1:18">
      <c r="A21" s="147">
        <v>9</v>
      </c>
      <c r="B21" s="10"/>
      <c r="C21" s="98" t="s">
        <v>288</v>
      </c>
      <c r="D21" s="124" t="s">
        <v>44</v>
      </c>
      <c r="E21" s="181">
        <v>6</v>
      </c>
      <c r="F21" s="66"/>
      <c r="G21" s="211"/>
      <c r="H21" s="211"/>
      <c r="I21" s="65"/>
      <c r="J21" s="67"/>
      <c r="K21" s="211"/>
      <c r="L21" s="211"/>
      <c r="M21" s="211"/>
      <c r="N21" s="211"/>
      <c r="O21" s="211"/>
      <c r="P21" s="263"/>
    </row>
    <row r="22" spans="1:18">
      <c r="A22" s="147">
        <v>10</v>
      </c>
      <c r="B22" s="10"/>
      <c r="C22" s="98" t="s">
        <v>289</v>
      </c>
      <c r="D22" s="124" t="s">
        <v>44</v>
      </c>
      <c r="E22" s="181">
        <v>24</v>
      </c>
      <c r="F22" s="66"/>
      <c r="G22" s="211"/>
      <c r="H22" s="211"/>
      <c r="I22" s="65"/>
      <c r="J22" s="67"/>
      <c r="K22" s="211"/>
      <c r="L22" s="211"/>
      <c r="M22" s="211"/>
      <c r="N22" s="211"/>
      <c r="O22" s="211"/>
      <c r="P22" s="263"/>
    </row>
    <row r="23" spans="1:18">
      <c r="A23" s="147">
        <v>11</v>
      </c>
      <c r="B23" s="10"/>
      <c r="C23" s="98" t="s">
        <v>290</v>
      </c>
      <c r="D23" s="124" t="s">
        <v>44</v>
      </c>
      <c r="E23" s="181">
        <v>12</v>
      </c>
      <c r="F23" s="66"/>
      <c r="G23" s="211"/>
      <c r="H23" s="211"/>
      <c r="I23" s="65"/>
      <c r="J23" s="67"/>
      <c r="K23" s="211"/>
      <c r="L23" s="211"/>
      <c r="M23" s="211"/>
      <c r="N23" s="211"/>
      <c r="O23" s="211"/>
      <c r="P23" s="263"/>
    </row>
    <row r="24" spans="1:18" ht="24" customHeight="1">
      <c r="A24" s="147">
        <v>12</v>
      </c>
      <c r="B24" s="10"/>
      <c r="C24" s="98" t="s">
        <v>291</v>
      </c>
      <c r="D24" s="123" t="s">
        <v>73</v>
      </c>
      <c r="E24" s="181">
        <v>1</v>
      </c>
      <c r="F24" s="66"/>
      <c r="G24" s="211"/>
      <c r="H24" s="211"/>
      <c r="I24" s="65"/>
      <c r="J24" s="67"/>
      <c r="K24" s="211"/>
      <c r="L24" s="211"/>
      <c r="M24" s="211"/>
      <c r="N24" s="211"/>
      <c r="O24" s="211"/>
      <c r="P24" s="263"/>
    </row>
    <row r="25" spans="1:18">
      <c r="A25" s="147">
        <v>13</v>
      </c>
      <c r="B25" s="10"/>
      <c r="C25" s="98" t="s">
        <v>292</v>
      </c>
      <c r="D25" s="203" t="s">
        <v>73</v>
      </c>
      <c r="E25" s="181">
        <v>1</v>
      </c>
      <c r="F25" s="66"/>
      <c r="G25" s="211"/>
      <c r="H25" s="211"/>
      <c r="I25" s="65"/>
      <c r="J25" s="67"/>
      <c r="K25" s="211"/>
      <c r="L25" s="211"/>
      <c r="M25" s="211"/>
      <c r="N25" s="211"/>
      <c r="O25" s="211"/>
      <c r="P25" s="263"/>
    </row>
    <row r="26" spans="1:18">
      <c r="A26" s="147">
        <v>14</v>
      </c>
      <c r="B26" s="62"/>
      <c r="C26" s="98" t="s">
        <v>293</v>
      </c>
      <c r="D26" s="203" t="s">
        <v>73</v>
      </c>
      <c r="E26" s="181">
        <v>2</v>
      </c>
      <c r="F26" s="66"/>
      <c r="G26" s="211"/>
      <c r="H26" s="211"/>
      <c r="I26" s="65"/>
      <c r="J26" s="67"/>
      <c r="K26" s="211"/>
      <c r="L26" s="211"/>
      <c r="M26" s="211"/>
      <c r="N26" s="211"/>
      <c r="O26" s="211"/>
      <c r="P26" s="263"/>
    </row>
    <row r="27" spans="1:18">
      <c r="A27" s="147">
        <v>15</v>
      </c>
      <c r="B27" s="10"/>
      <c r="C27" s="98" t="s">
        <v>236</v>
      </c>
      <c r="D27" s="203" t="s">
        <v>73</v>
      </c>
      <c r="E27" s="181">
        <v>1</v>
      </c>
      <c r="F27" s="66"/>
      <c r="G27" s="211"/>
      <c r="H27" s="211"/>
      <c r="I27" s="65"/>
      <c r="J27" s="67"/>
      <c r="K27" s="211"/>
      <c r="L27" s="211"/>
      <c r="M27" s="211"/>
      <c r="N27" s="211"/>
      <c r="O27" s="211"/>
      <c r="P27" s="263"/>
    </row>
    <row r="28" spans="1:18" ht="15" thickBot="1">
      <c r="A28" s="126"/>
      <c r="B28" s="127"/>
      <c r="C28" s="390" t="s">
        <v>97</v>
      </c>
      <c r="D28" s="390"/>
      <c r="E28" s="390"/>
      <c r="F28" s="390"/>
      <c r="G28" s="390"/>
      <c r="H28" s="390"/>
      <c r="I28" s="390"/>
      <c r="J28" s="390"/>
      <c r="K28" s="390"/>
      <c r="L28" s="153">
        <f>SUM(L13:L27)</f>
        <v>0</v>
      </c>
      <c r="M28" s="153">
        <f>SUM(M13:M27)</f>
        <v>0</v>
      </c>
      <c r="N28" s="153">
        <f>SUM(N13:N27)</f>
        <v>0</v>
      </c>
      <c r="O28" s="153">
        <f>SUM(O13:O27)</f>
        <v>0</v>
      </c>
      <c r="P28" s="154">
        <f>SUM(P13:P27)</f>
        <v>0</v>
      </c>
    </row>
    <row r="29" spans="1:18" ht="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59"/>
      <c r="R29" s="57"/>
    </row>
    <row r="30" spans="1:18">
      <c r="A30" s="6"/>
      <c r="B30" s="6"/>
      <c r="C30" s="5" t="s">
        <v>21</v>
      </c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4"/>
    </row>
    <row r="31" spans="1:18">
      <c r="A31" s="5"/>
      <c r="B31" s="5"/>
      <c r="C31" s="3"/>
      <c r="D31" s="392" t="s">
        <v>22</v>
      </c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4"/>
    </row>
    <row r="32" spans="1:18">
      <c r="A32" s="3"/>
      <c r="B32" s="3"/>
      <c r="C32" s="5" t="s">
        <v>23</v>
      </c>
      <c r="D32" s="354"/>
      <c r="E32" s="354"/>
      <c r="F32" s="354"/>
      <c r="G32" s="3"/>
      <c r="H32" s="3"/>
      <c r="I32" s="3"/>
      <c r="J32" s="3"/>
      <c r="K32" s="3"/>
      <c r="L32" s="3"/>
      <c r="M32" s="3"/>
      <c r="N32" s="3"/>
      <c r="O32" s="3"/>
      <c r="P32" s="4"/>
    </row>
    <row r="33" spans="1:16">
      <c r="A33" s="3"/>
      <c r="B33" s="3"/>
      <c r="C33" s="5"/>
      <c r="D33" s="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</sheetData>
  <mergeCells count="22">
    <mergeCell ref="D32:F32"/>
    <mergeCell ref="A8:J8"/>
    <mergeCell ref="A9:A10"/>
    <mergeCell ref="B9:B10"/>
    <mergeCell ref="C9:C10"/>
    <mergeCell ref="D9:D10"/>
    <mergeCell ref="E9:E10"/>
    <mergeCell ref="O7:P7"/>
    <mergeCell ref="L9:P9"/>
    <mergeCell ref="C28:K28"/>
    <mergeCell ref="D30:O30"/>
    <mergeCell ref="D31:O31"/>
    <mergeCell ref="A5:K5"/>
    <mergeCell ref="F9:K9"/>
    <mergeCell ref="A6:D6"/>
    <mergeCell ref="A7:H7"/>
    <mergeCell ref="L7:N7"/>
    <mergeCell ref="L1:O1"/>
    <mergeCell ref="A2:C2"/>
    <mergeCell ref="L2:O2"/>
    <mergeCell ref="A3:D3"/>
    <mergeCell ref="L3:O3"/>
  </mergeCells>
  <conditionalFormatting sqref="D12:D28">
    <cfRule type="cellIs" dxfId="17" priority="1" stopIfTrue="1" operator="equal">
      <formula>0</formula>
    </cfRule>
    <cfRule type="expression" dxfId="16" priority="2" stopIfTrue="1">
      <formula>#N/A</formula>
    </cfRule>
  </conditionalFormatting>
  <hyperlinks>
    <hyperlink ref="L1" r:id="rId1" tooltip="Atvērt citā formātā" display="https://likumi.lv/wwwraksti/2017/103/BILDES/N_239/P5.DOCX" xr:uid="{BBB18991-E1DA-469C-9C2F-42FCE64B59F9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B7D50-8F88-443A-B1E1-C3796EA86180}">
  <sheetPr>
    <pageSetUpPr fitToPage="1"/>
  </sheetPr>
  <dimension ref="A1:R44"/>
  <sheetViews>
    <sheetView zoomScale="130" zoomScaleNormal="130" workbookViewId="0">
      <selection activeCell="C4" sqref="C4"/>
    </sheetView>
  </sheetViews>
  <sheetFormatPr defaultColWidth="9.140625" defaultRowHeight="14.25"/>
  <cols>
    <col min="1" max="1" width="6.42578125" style="1" customWidth="1"/>
    <col min="2" max="2" width="8.85546875" style="1" customWidth="1"/>
    <col min="3" max="3" width="43.28515625" style="1" customWidth="1"/>
    <col min="4" max="4" width="5.42578125" style="1" customWidth="1"/>
    <col min="5" max="6" width="7.28515625" style="1" customWidth="1"/>
    <col min="7" max="9" width="8.85546875" style="1" customWidth="1"/>
    <col min="10" max="10" width="8.28515625" style="1" customWidth="1"/>
    <col min="11" max="11" width="8" style="1" customWidth="1"/>
    <col min="12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324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230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535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6" ht="15" thickBot="1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</row>
    <row r="10" spans="1:16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ht="1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28">
        <v>6</v>
      </c>
      <c r="G11" s="128">
        <v>7</v>
      </c>
      <c r="H11" s="128">
        <v>8</v>
      </c>
      <c r="I11" s="128">
        <v>9</v>
      </c>
      <c r="J11" s="128">
        <v>10</v>
      </c>
      <c r="K11" s="128">
        <v>11</v>
      </c>
      <c r="L11" s="128">
        <v>12</v>
      </c>
      <c r="M11" s="128">
        <v>13</v>
      </c>
      <c r="N11" s="128">
        <v>14</v>
      </c>
      <c r="O11" s="128">
        <v>15</v>
      </c>
      <c r="P11" s="129">
        <v>16</v>
      </c>
    </row>
    <row r="12" spans="1:16">
      <c r="A12" s="157"/>
      <c r="B12" s="158"/>
      <c r="C12" s="158"/>
      <c r="D12" s="158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60"/>
    </row>
    <row r="13" spans="1:16">
      <c r="A13" s="147">
        <v>1</v>
      </c>
      <c r="B13" s="10"/>
      <c r="C13" s="213" t="s">
        <v>300</v>
      </c>
      <c r="D13" s="214" t="s">
        <v>44</v>
      </c>
      <c r="E13" s="214">
        <v>1</v>
      </c>
      <c r="F13" s="262"/>
      <c r="G13" s="262"/>
      <c r="H13" s="211"/>
      <c r="I13" s="212"/>
      <c r="J13" s="67"/>
      <c r="K13" s="211"/>
      <c r="L13" s="211"/>
      <c r="M13" s="211"/>
      <c r="N13" s="211"/>
      <c r="O13" s="211"/>
      <c r="P13" s="263"/>
    </row>
    <row r="14" spans="1:16">
      <c r="A14" s="147">
        <v>2</v>
      </c>
      <c r="B14" s="10"/>
      <c r="C14" s="215" t="s">
        <v>301</v>
      </c>
      <c r="D14" s="214" t="s">
        <v>44</v>
      </c>
      <c r="E14" s="214">
        <v>3</v>
      </c>
      <c r="F14" s="262"/>
      <c r="G14" s="262"/>
      <c r="H14" s="211"/>
      <c r="I14" s="212"/>
      <c r="J14" s="67"/>
      <c r="K14" s="211"/>
      <c r="L14" s="211"/>
      <c r="M14" s="211"/>
      <c r="N14" s="211"/>
      <c r="O14" s="211"/>
      <c r="P14" s="263"/>
    </row>
    <row r="15" spans="1:16">
      <c r="A15" s="147">
        <v>3</v>
      </c>
      <c r="B15" s="10"/>
      <c r="C15" s="216" t="s">
        <v>302</v>
      </c>
      <c r="D15" s="214" t="s">
        <v>44</v>
      </c>
      <c r="E15" s="214">
        <v>3</v>
      </c>
      <c r="F15" s="262"/>
      <c r="G15" s="262"/>
      <c r="H15" s="211"/>
      <c r="I15" s="212"/>
      <c r="J15" s="67"/>
      <c r="K15" s="211"/>
      <c r="L15" s="211"/>
      <c r="M15" s="211"/>
      <c r="N15" s="211"/>
      <c r="O15" s="211"/>
      <c r="P15" s="263"/>
    </row>
    <row r="16" spans="1:16" ht="25.5">
      <c r="A16" s="147">
        <v>4</v>
      </c>
      <c r="B16" s="10"/>
      <c r="C16" s="213" t="s">
        <v>303</v>
      </c>
      <c r="D16" s="214" t="s">
        <v>44</v>
      </c>
      <c r="E16" s="214">
        <v>52</v>
      </c>
      <c r="F16" s="262"/>
      <c r="G16" s="262"/>
      <c r="H16" s="211"/>
      <c r="I16" s="212"/>
      <c r="J16" s="67"/>
      <c r="K16" s="211"/>
      <c r="L16" s="211"/>
      <c r="M16" s="211"/>
      <c r="N16" s="211"/>
      <c r="O16" s="211"/>
      <c r="P16" s="263"/>
    </row>
    <row r="17" spans="1:16">
      <c r="A17" s="147">
        <v>5</v>
      </c>
      <c r="B17" s="10"/>
      <c r="C17" s="213" t="s">
        <v>304</v>
      </c>
      <c r="D17" s="214" t="s">
        <v>44</v>
      </c>
      <c r="E17" s="214">
        <v>22</v>
      </c>
      <c r="F17" s="262"/>
      <c r="G17" s="262"/>
      <c r="H17" s="211"/>
      <c r="I17" s="212"/>
      <c r="J17" s="67"/>
      <c r="K17" s="211"/>
      <c r="L17" s="211"/>
      <c r="M17" s="211"/>
      <c r="N17" s="211"/>
      <c r="O17" s="211"/>
      <c r="P17" s="263"/>
    </row>
    <row r="18" spans="1:16">
      <c r="A18" s="147">
        <v>1</v>
      </c>
      <c r="B18" s="10"/>
      <c r="C18" s="218" t="s">
        <v>305</v>
      </c>
      <c r="D18" s="214" t="s">
        <v>44</v>
      </c>
      <c r="E18" s="217">
        <v>8</v>
      </c>
      <c r="F18" s="262"/>
      <c r="G18" s="262"/>
      <c r="H18" s="211"/>
      <c r="I18" s="212"/>
      <c r="J18" s="67"/>
      <c r="K18" s="211"/>
      <c r="L18" s="211"/>
      <c r="M18" s="211"/>
      <c r="N18" s="211"/>
      <c r="O18" s="211"/>
      <c r="P18" s="263"/>
    </row>
    <row r="19" spans="1:16">
      <c r="A19" s="147">
        <v>2</v>
      </c>
      <c r="B19" s="10"/>
      <c r="C19" s="216" t="s">
        <v>306</v>
      </c>
      <c r="D19" s="214" t="s">
        <v>44</v>
      </c>
      <c r="E19" s="217">
        <v>24</v>
      </c>
      <c r="F19" s="262"/>
      <c r="G19" s="262"/>
      <c r="H19" s="211"/>
      <c r="I19" s="212"/>
      <c r="J19" s="67"/>
      <c r="K19" s="211"/>
      <c r="L19" s="211"/>
      <c r="M19" s="211"/>
      <c r="N19" s="211"/>
      <c r="O19" s="211"/>
      <c r="P19" s="263"/>
    </row>
    <row r="20" spans="1:16">
      <c r="A20" s="147">
        <v>3</v>
      </c>
      <c r="B20" s="10"/>
      <c r="C20" s="216" t="s">
        <v>307</v>
      </c>
      <c r="D20" s="214" t="s">
        <v>44</v>
      </c>
      <c r="E20" s="217">
        <v>5</v>
      </c>
      <c r="F20" s="262"/>
      <c r="G20" s="262"/>
      <c r="H20" s="211"/>
      <c r="I20" s="212"/>
      <c r="J20" s="67"/>
      <c r="K20" s="211"/>
      <c r="L20" s="211"/>
      <c r="M20" s="211"/>
      <c r="N20" s="211"/>
      <c r="O20" s="211"/>
      <c r="P20" s="263"/>
    </row>
    <row r="21" spans="1:16">
      <c r="A21" s="147">
        <v>4</v>
      </c>
      <c r="B21" s="10"/>
      <c r="C21" s="216" t="s">
        <v>308</v>
      </c>
      <c r="D21" s="214" t="s">
        <v>44</v>
      </c>
      <c r="E21" s="217">
        <v>5</v>
      </c>
      <c r="F21" s="262"/>
      <c r="G21" s="262"/>
      <c r="H21" s="211"/>
      <c r="I21" s="212"/>
      <c r="J21" s="67"/>
      <c r="K21" s="211"/>
      <c r="L21" s="211"/>
      <c r="M21" s="211"/>
      <c r="N21" s="211"/>
      <c r="O21" s="211"/>
      <c r="P21" s="263"/>
    </row>
    <row r="22" spans="1:16">
      <c r="A22" s="147">
        <v>5</v>
      </c>
      <c r="B22" s="10"/>
      <c r="C22" s="216" t="s">
        <v>309</v>
      </c>
      <c r="D22" s="214" t="s">
        <v>44</v>
      </c>
      <c r="E22" s="217">
        <v>4</v>
      </c>
      <c r="F22" s="262"/>
      <c r="G22" s="262"/>
      <c r="H22" s="211"/>
      <c r="I22" s="212"/>
      <c r="J22" s="67"/>
      <c r="K22" s="211"/>
      <c r="L22" s="211"/>
      <c r="M22" s="211"/>
      <c r="N22" s="211"/>
      <c r="O22" s="211"/>
      <c r="P22" s="263"/>
    </row>
    <row r="23" spans="1:16">
      <c r="A23" s="147">
        <v>1</v>
      </c>
      <c r="B23" s="10"/>
      <c r="C23" s="216" t="s">
        <v>310</v>
      </c>
      <c r="D23" s="214" t="s">
        <v>44</v>
      </c>
      <c r="E23" s="217">
        <v>2</v>
      </c>
      <c r="F23" s="262"/>
      <c r="G23" s="262"/>
      <c r="H23" s="211"/>
      <c r="I23" s="212"/>
      <c r="J23" s="67"/>
      <c r="K23" s="211"/>
      <c r="L23" s="211"/>
      <c r="M23" s="211"/>
      <c r="N23" s="211"/>
      <c r="O23" s="211"/>
      <c r="P23" s="263"/>
    </row>
    <row r="24" spans="1:16">
      <c r="A24" s="147">
        <v>2</v>
      </c>
      <c r="B24" s="10"/>
      <c r="C24" s="216" t="s">
        <v>311</v>
      </c>
      <c r="D24" s="219" t="s">
        <v>63</v>
      </c>
      <c r="E24" s="217">
        <v>700</v>
      </c>
      <c r="F24" s="262"/>
      <c r="G24" s="262"/>
      <c r="H24" s="211"/>
      <c r="I24" s="212"/>
      <c r="J24" s="67"/>
      <c r="K24" s="211"/>
      <c r="L24" s="211"/>
      <c r="M24" s="211"/>
      <c r="N24" s="211"/>
      <c r="O24" s="211"/>
      <c r="P24" s="263"/>
    </row>
    <row r="25" spans="1:16">
      <c r="A25" s="147">
        <v>3</v>
      </c>
      <c r="B25" s="10"/>
      <c r="C25" s="216" t="s">
        <v>312</v>
      </c>
      <c r="D25" s="219" t="s">
        <v>63</v>
      </c>
      <c r="E25" s="217">
        <v>200</v>
      </c>
      <c r="F25" s="262"/>
      <c r="G25" s="262"/>
      <c r="H25" s="211"/>
      <c r="I25" s="212"/>
      <c r="J25" s="67"/>
      <c r="K25" s="211"/>
      <c r="L25" s="211"/>
      <c r="M25" s="211"/>
      <c r="N25" s="211"/>
      <c r="O25" s="211"/>
      <c r="P25" s="263"/>
    </row>
    <row r="26" spans="1:16">
      <c r="A26" s="147">
        <v>4</v>
      </c>
      <c r="B26" s="10"/>
      <c r="C26" s="216" t="s">
        <v>313</v>
      </c>
      <c r="D26" s="219" t="s">
        <v>63</v>
      </c>
      <c r="E26" s="217">
        <v>190</v>
      </c>
      <c r="F26" s="262"/>
      <c r="G26" s="262"/>
      <c r="H26" s="211"/>
      <c r="I26" s="212"/>
      <c r="J26" s="67"/>
      <c r="K26" s="211"/>
      <c r="L26" s="211"/>
      <c r="M26" s="211"/>
      <c r="N26" s="211"/>
      <c r="O26" s="211"/>
      <c r="P26" s="263"/>
    </row>
    <row r="27" spans="1:16">
      <c r="A27" s="147">
        <v>5</v>
      </c>
      <c r="B27" s="10"/>
      <c r="C27" s="216" t="s">
        <v>314</v>
      </c>
      <c r="D27" s="219" t="s">
        <v>63</v>
      </c>
      <c r="E27" s="217">
        <v>90</v>
      </c>
      <c r="F27" s="262"/>
      <c r="G27" s="262"/>
      <c r="H27" s="211"/>
      <c r="I27" s="212"/>
      <c r="J27" s="67"/>
      <c r="K27" s="211"/>
      <c r="L27" s="211"/>
      <c r="M27" s="211"/>
      <c r="N27" s="211"/>
      <c r="O27" s="211"/>
      <c r="P27" s="263"/>
    </row>
    <row r="28" spans="1:16">
      <c r="A28" s="147">
        <v>1</v>
      </c>
      <c r="B28" s="10"/>
      <c r="C28" s="216" t="s">
        <v>315</v>
      </c>
      <c r="D28" s="219" t="s">
        <v>63</v>
      </c>
      <c r="E28" s="217">
        <v>320</v>
      </c>
      <c r="F28" s="262"/>
      <c r="G28" s="262"/>
      <c r="H28" s="211"/>
      <c r="I28" s="212"/>
      <c r="J28" s="67"/>
      <c r="K28" s="211"/>
      <c r="L28" s="211"/>
      <c r="M28" s="211"/>
      <c r="N28" s="211"/>
      <c r="O28" s="211"/>
      <c r="P28" s="263"/>
    </row>
    <row r="29" spans="1:16">
      <c r="A29" s="147">
        <v>2</v>
      </c>
      <c r="B29" s="10"/>
      <c r="C29" s="216" t="s">
        <v>316</v>
      </c>
      <c r="D29" s="219" t="s">
        <v>63</v>
      </c>
      <c r="E29" s="217">
        <v>500</v>
      </c>
      <c r="F29" s="262"/>
      <c r="G29" s="262"/>
      <c r="H29" s="211"/>
      <c r="I29" s="212"/>
      <c r="J29" s="67"/>
      <c r="K29" s="211"/>
      <c r="L29" s="211"/>
      <c r="M29" s="211"/>
      <c r="N29" s="211"/>
      <c r="O29" s="211"/>
      <c r="P29" s="263"/>
    </row>
    <row r="30" spans="1:16">
      <c r="A30" s="147">
        <v>3</v>
      </c>
      <c r="B30" s="10"/>
      <c r="C30" s="216" t="s">
        <v>317</v>
      </c>
      <c r="D30" s="219" t="s">
        <v>44</v>
      </c>
      <c r="E30" s="217">
        <v>1</v>
      </c>
      <c r="F30" s="262"/>
      <c r="G30" s="262"/>
      <c r="H30" s="211"/>
      <c r="I30" s="212"/>
      <c r="J30" s="67"/>
      <c r="K30" s="211"/>
      <c r="L30" s="211"/>
      <c r="M30" s="211"/>
      <c r="N30" s="211"/>
      <c r="O30" s="211"/>
      <c r="P30" s="263"/>
    </row>
    <row r="31" spans="1:16">
      <c r="A31" s="147">
        <v>4</v>
      </c>
      <c r="B31" s="10"/>
      <c r="C31" s="216" t="s">
        <v>318</v>
      </c>
      <c r="D31" s="219" t="s">
        <v>44</v>
      </c>
      <c r="E31" s="217">
        <v>10</v>
      </c>
      <c r="F31" s="262"/>
      <c r="G31" s="262"/>
      <c r="H31" s="211"/>
      <c r="I31" s="212"/>
      <c r="J31" s="67"/>
      <c r="K31" s="211"/>
      <c r="L31" s="211"/>
      <c r="M31" s="211"/>
      <c r="N31" s="211"/>
      <c r="O31" s="211"/>
      <c r="P31" s="263"/>
    </row>
    <row r="32" spans="1:16" ht="25.5">
      <c r="A32" s="147">
        <v>5</v>
      </c>
      <c r="B32" s="10"/>
      <c r="C32" s="216" t="s">
        <v>319</v>
      </c>
      <c r="D32" s="219" t="s">
        <v>44</v>
      </c>
      <c r="E32" s="217">
        <v>800</v>
      </c>
      <c r="F32" s="262"/>
      <c r="G32" s="262"/>
      <c r="H32" s="211"/>
      <c r="I32" s="212"/>
      <c r="J32" s="67"/>
      <c r="K32" s="211"/>
      <c r="L32" s="211"/>
      <c r="M32" s="211"/>
      <c r="N32" s="211"/>
      <c r="O32" s="211"/>
      <c r="P32" s="263"/>
    </row>
    <row r="33" spans="1:18">
      <c r="A33" s="147">
        <v>1</v>
      </c>
      <c r="B33" s="10"/>
      <c r="C33" s="216" t="s">
        <v>320</v>
      </c>
      <c r="D33" s="219" t="s">
        <v>321</v>
      </c>
      <c r="E33" s="217">
        <v>1</v>
      </c>
      <c r="F33" s="262"/>
      <c r="G33" s="262"/>
      <c r="H33" s="211"/>
      <c r="I33" s="212"/>
      <c r="J33" s="67"/>
      <c r="K33" s="211"/>
      <c r="L33" s="211"/>
      <c r="M33" s="211"/>
      <c r="N33" s="211"/>
      <c r="O33" s="211"/>
      <c r="P33" s="263"/>
    </row>
    <row r="34" spans="1:18" ht="14.25" customHeight="1">
      <c r="A34" s="147">
        <v>2</v>
      </c>
      <c r="B34" s="10"/>
      <c r="C34" s="216" t="s">
        <v>322</v>
      </c>
      <c r="D34" s="219" t="s">
        <v>44</v>
      </c>
      <c r="E34" s="217">
        <v>2</v>
      </c>
      <c r="F34" s="262"/>
      <c r="G34" s="262"/>
      <c r="H34" s="211"/>
      <c r="I34" s="212"/>
      <c r="J34" s="67"/>
      <c r="K34" s="211"/>
      <c r="L34" s="211"/>
      <c r="M34" s="211"/>
      <c r="N34" s="211"/>
      <c r="O34" s="211"/>
      <c r="P34" s="263"/>
    </row>
    <row r="35" spans="1:18">
      <c r="A35" s="147">
        <v>3</v>
      </c>
      <c r="B35" s="10"/>
      <c r="C35" s="216" t="s">
        <v>296</v>
      </c>
      <c r="D35" s="219" t="s">
        <v>73</v>
      </c>
      <c r="E35" s="217">
        <v>1</v>
      </c>
      <c r="F35" s="261"/>
      <c r="G35" s="261"/>
      <c r="H35" s="211"/>
      <c r="I35" s="212"/>
      <c r="J35" s="67"/>
      <c r="K35" s="211"/>
      <c r="L35" s="211"/>
      <c r="M35" s="211"/>
      <c r="N35" s="211"/>
      <c r="O35" s="211"/>
      <c r="P35" s="263"/>
    </row>
    <row r="36" spans="1:18" ht="15" thickBot="1">
      <c r="A36" s="126"/>
      <c r="B36" s="127"/>
      <c r="C36" s="390" t="s">
        <v>97</v>
      </c>
      <c r="D36" s="390"/>
      <c r="E36" s="390"/>
      <c r="F36" s="390"/>
      <c r="G36" s="390"/>
      <c r="H36" s="390"/>
      <c r="I36" s="390"/>
      <c r="J36" s="390"/>
      <c r="K36" s="390"/>
      <c r="L36" s="149">
        <f>SUM(L13:L35)</f>
        <v>0</v>
      </c>
      <c r="M36" s="149">
        <f>SUM(M13:M35)</f>
        <v>0</v>
      </c>
      <c r="N36" s="149">
        <f>SUM(N13:N35)</f>
        <v>0</v>
      </c>
      <c r="O36" s="149">
        <f>SUM(O13:O35)</f>
        <v>0</v>
      </c>
      <c r="P36" s="150">
        <f>SUM(P13:P35)</f>
        <v>0</v>
      </c>
    </row>
    <row r="37" spans="1:18" ht="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59"/>
      <c r="R37" s="57"/>
    </row>
    <row r="38" spans="1:18">
      <c r="A38" s="6"/>
      <c r="B38" s="6"/>
      <c r="C38" s="5" t="s">
        <v>21</v>
      </c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4"/>
    </row>
    <row r="39" spans="1:18">
      <c r="A39" s="5"/>
      <c r="B39" s="5"/>
      <c r="C39" s="3"/>
      <c r="D39" s="392" t="s">
        <v>22</v>
      </c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4"/>
    </row>
    <row r="40" spans="1:18">
      <c r="A40" s="3"/>
      <c r="B40" s="3"/>
      <c r="C40" s="5" t="s">
        <v>23</v>
      </c>
      <c r="D40" s="354"/>
      <c r="E40" s="354"/>
      <c r="F40" s="354"/>
      <c r="G40" s="3"/>
      <c r="H40" s="3"/>
      <c r="I40" s="3"/>
      <c r="J40" s="3"/>
      <c r="K40" s="3"/>
      <c r="L40" s="3"/>
      <c r="M40" s="3"/>
      <c r="N40" s="3"/>
      <c r="O40" s="3"/>
      <c r="P40" s="4"/>
    </row>
    <row r="41" spans="1:18">
      <c r="A41" s="3"/>
      <c r="B41" s="3"/>
      <c r="C41" s="5"/>
      <c r="D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4"/>
    </row>
    <row r="42" spans="1:18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8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8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</sheetData>
  <mergeCells count="22">
    <mergeCell ref="D40:F40"/>
    <mergeCell ref="A8:J8"/>
    <mergeCell ref="A9:A10"/>
    <mergeCell ref="B9:B10"/>
    <mergeCell ref="C9:C10"/>
    <mergeCell ref="D9:D10"/>
    <mergeCell ref="E9:E10"/>
    <mergeCell ref="O7:P7"/>
    <mergeCell ref="L9:P9"/>
    <mergeCell ref="C36:K36"/>
    <mergeCell ref="D38:O38"/>
    <mergeCell ref="D39:O39"/>
    <mergeCell ref="A5:K5"/>
    <mergeCell ref="F9:K9"/>
    <mergeCell ref="A6:D6"/>
    <mergeCell ref="A7:H7"/>
    <mergeCell ref="L7:N7"/>
    <mergeCell ref="L1:O1"/>
    <mergeCell ref="A2:C2"/>
    <mergeCell ref="L2:O2"/>
    <mergeCell ref="A3:D3"/>
    <mergeCell ref="L3:O3"/>
  </mergeCells>
  <conditionalFormatting sqref="D13:D36">
    <cfRule type="cellIs" dxfId="15" priority="5" stopIfTrue="1" operator="equal">
      <formula>0</formula>
    </cfRule>
    <cfRule type="expression" dxfId="14" priority="6" stopIfTrue="1">
      <formula>#N/A</formula>
    </cfRule>
  </conditionalFormatting>
  <hyperlinks>
    <hyperlink ref="L1" r:id="rId1" tooltip="Atvērt citā formātā" display="https://likumi.lv/wwwraksti/2017/103/BILDES/N_239/P5.DOCX" xr:uid="{436C33DB-D6D5-450B-B2D0-8324FC760E2E}"/>
  </hyperlinks>
  <pageMargins left="0.51181102362204722" right="0.11811023622047245" top="0.74803149606299213" bottom="0.74803149606299213" header="0.31496062992125984" footer="0.31496062992125984"/>
  <pageSetup paperSize="9" scale="78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43C6-A8A8-4F3C-8953-3225FDDC4F4C}">
  <dimension ref="A1:R56"/>
  <sheetViews>
    <sheetView zoomScale="130" zoomScaleNormal="130" workbookViewId="0">
      <selection activeCell="A5" sqref="A5:K5"/>
    </sheetView>
  </sheetViews>
  <sheetFormatPr defaultColWidth="9.140625" defaultRowHeight="14.25"/>
  <cols>
    <col min="1" max="1" width="6" style="1" customWidth="1"/>
    <col min="2" max="2" width="8.42578125" style="1" customWidth="1"/>
    <col min="3" max="3" width="43.28515625" style="1" customWidth="1"/>
    <col min="4" max="4" width="4.85546875" style="1" customWidth="1"/>
    <col min="5" max="5" width="7.42578125" style="1" customWidth="1"/>
    <col min="6" max="6" width="6.85546875" style="1" customWidth="1"/>
    <col min="7" max="7" width="8.140625" style="1" customWidth="1"/>
    <col min="8" max="9" width="8.85546875" style="1" customWidth="1"/>
    <col min="10" max="10" width="8.28515625" style="1" customWidth="1"/>
    <col min="11" max="11" width="8.140625" style="1" customWidth="1"/>
    <col min="12" max="12" width="10.42578125" style="1" customWidth="1"/>
    <col min="13" max="14" width="9.140625" style="1"/>
    <col min="15" max="15" width="9.28515625" style="1" customWidth="1"/>
    <col min="16" max="16" width="8.85546875" style="1" customWidth="1"/>
    <col min="17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327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414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535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6" ht="15" thickBot="1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</row>
    <row r="10" spans="1:16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s="172" customFormat="1" ht="1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28">
        <v>6</v>
      </c>
      <c r="G11" s="128">
        <v>7</v>
      </c>
      <c r="H11" s="128">
        <v>8</v>
      </c>
      <c r="I11" s="128">
        <v>9</v>
      </c>
      <c r="J11" s="128">
        <v>10</v>
      </c>
      <c r="K11" s="128">
        <v>11</v>
      </c>
      <c r="L11" s="128">
        <v>12</v>
      </c>
      <c r="M11" s="128" t="s">
        <v>496</v>
      </c>
      <c r="N11" s="128">
        <v>14</v>
      </c>
      <c r="O11" s="128">
        <v>15</v>
      </c>
      <c r="P11" s="129">
        <v>16</v>
      </c>
    </row>
    <row r="12" spans="1:16">
      <c r="A12" s="157"/>
      <c r="B12" s="190" t="s">
        <v>418</v>
      </c>
      <c r="C12" s="197" t="s">
        <v>419</v>
      </c>
      <c r="D12" s="158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1"/>
    </row>
    <row r="13" spans="1:16" ht="25.5">
      <c r="A13" s="147">
        <v>1</v>
      </c>
      <c r="B13" s="10"/>
      <c r="C13" s="98" t="s">
        <v>420</v>
      </c>
      <c r="D13" s="80" t="s">
        <v>66</v>
      </c>
      <c r="E13" s="237">
        <f>52*2*2</f>
        <v>208</v>
      </c>
      <c r="F13" s="66"/>
      <c r="G13" s="66"/>
      <c r="H13" s="66"/>
      <c r="I13" s="66"/>
      <c r="J13" s="67"/>
      <c r="K13" s="182"/>
      <c r="L13" s="11"/>
      <c r="M13" s="182"/>
      <c r="N13" s="182"/>
      <c r="O13" s="182"/>
      <c r="P13" s="254"/>
    </row>
    <row r="14" spans="1:16" ht="25.5">
      <c r="A14" s="147">
        <v>2</v>
      </c>
      <c r="B14" s="10"/>
      <c r="C14" s="166" t="s">
        <v>415</v>
      </c>
      <c r="D14" s="80" t="s">
        <v>66</v>
      </c>
      <c r="E14" s="237">
        <f>52*1*0.15</f>
        <v>7.8</v>
      </c>
      <c r="F14" s="66"/>
      <c r="G14" s="66"/>
      <c r="H14" s="66"/>
      <c r="I14" s="66"/>
      <c r="J14" s="67"/>
      <c r="K14" s="182"/>
      <c r="L14" s="11"/>
      <c r="M14" s="182"/>
      <c r="N14" s="182"/>
      <c r="O14" s="182"/>
      <c r="P14" s="254"/>
    </row>
    <row r="15" spans="1:16" ht="25.5">
      <c r="A15" s="189">
        <v>3</v>
      </c>
      <c r="B15" s="178"/>
      <c r="C15" s="235" t="s">
        <v>421</v>
      </c>
      <c r="D15" s="236" t="s">
        <v>63</v>
      </c>
      <c r="E15" s="71">
        <v>55</v>
      </c>
      <c r="F15" s="71"/>
      <c r="G15" s="66"/>
      <c r="H15" s="71"/>
      <c r="I15" s="71"/>
      <c r="J15" s="71"/>
      <c r="K15" s="182"/>
      <c r="L15" s="71"/>
      <c r="M15" s="71"/>
      <c r="N15" s="71"/>
      <c r="O15" s="71"/>
      <c r="P15" s="162"/>
    </row>
    <row r="16" spans="1:16" ht="25.5">
      <c r="A16" s="147">
        <v>4</v>
      </c>
      <c r="B16" s="10"/>
      <c r="C16" s="166" t="s">
        <v>416</v>
      </c>
      <c r="D16" s="80" t="s">
        <v>66</v>
      </c>
      <c r="E16" s="237">
        <f>E14*2</f>
        <v>15.6</v>
      </c>
      <c r="F16" s="66"/>
      <c r="G16" s="66"/>
      <c r="H16" s="66"/>
      <c r="I16" s="66"/>
      <c r="J16" s="67"/>
      <c r="K16" s="182"/>
      <c r="L16" s="11"/>
      <c r="M16" s="182"/>
      <c r="N16" s="182"/>
      <c r="O16" s="182"/>
      <c r="P16" s="254"/>
    </row>
    <row r="17" spans="1:18" ht="38.25">
      <c r="A17" s="147">
        <v>5</v>
      </c>
      <c r="B17" s="10"/>
      <c r="C17" s="166" t="s">
        <v>422</v>
      </c>
      <c r="D17" s="80" t="s">
        <v>66</v>
      </c>
      <c r="E17" s="237">
        <f>E13-E14-E16</f>
        <v>184.6</v>
      </c>
      <c r="F17" s="66"/>
      <c r="G17" s="66"/>
      <c r="H17" s="66"/>
      <c r="I17" s="66"/>
      <c r="J17" s="67"/>
      <c r="K17" s="182"/>
      <c r="L17" s="11"/>
      <c r="M17" s="182"/>
      <c r="N17" s="182"/>
      <c r="O17" s="182"/>
      <c r="P17" s="254"/>
    </row>
    <row r="18" spans="1:18" ht="15" customHeight="1">
      <c r="A18" s="147">
        <v>6</v>
      </c>
      <c r="B18" s="10"/>
      <c r="C18" s="166" t="s">
        <v>417</v>
      </c>
      <c r="D18" s="80" t="s">
        <v>66</v>
      </c>
      <c r="E18" s="239">
        <f>E14+E16</f>
        <v>23.4</v>
      </c>
      <c r="F18" s="66"/>
      <c r="G18" s="66"/>
      <c r="H18" s="66"/>
      <c r="I18" s="181"/>
      <c r="J18" s="67"/>
      <c r="K18" s="182"/>
      <c r="L18" s="11"/>
      <c r="M18" s="182"/>
      <c r="N18" s="182"/>
      <c r="O18" s="182"/>
      <c r="P18" s="254"/>
    </row>
    <row r="19" spans="1:18" ht="15" customHeight="1">
      <c r="A19" s="147">
        <v>7</v>
      </c>
      <c r="B19" s="10"/>
      <c r="C19" s="166" t="s">
        <v>424</v>
      </c>
      <c r="D19" s="61" t="s">
        <v>44</v>
      </c>
      <c r="E19" s="239">
        <v>2</v>
      </c>
      <c r="F19" s="66"/>
      <c r="G19" s="66"/>
      <c r="H19" s="66"/>
      <c r="I19" s="66"/>
      <c r="J19" s="234"/>
      <c r="K19" s="182"/>
      <c r="L19" s="180"/>
      <c r="M19" s="182"/>
      <c r="N19" s="182"/>
      <c r="O19" s="182"/>
      <c r="P19" s="254"/>
    </row>
    <row r="20" spans="1:18" ht="15" customHeight="1">
      <c r="A20" s="147">
        <v>8</v>
      </c>
      <c r="B20" s="10"/>
      <c r="C20" s="166" t="s">
        <v>423</v>
      </c>
      <c r="D20" s="61" t="s">
        <v>63</v>
      </c>
      <c r="E20" s="239">
        <f>E15</f>
        <v>55</v>
      </c>
      <c r="F20" s="66"/>
      <c r="G20" s="66"/>
      <c r="H20" s="66"/>
      <c r="I20" s="66"/>
      <c r="J20" s="66"/>
      <c r="K20" s="182"/>
      <c r="L20" s="180"/>
      <c r="M20" s="198"/>
      <c r="N20" s="198"/>
      <c r="O20" s="198"/>
      <c r="P20" s="260"/>
      <c r="R20" s="57"/>
    </row>
    <row r="21" spans="1:18">
      <c r="A21" s="255"/>
      <c r="B21" s="64" t="s">
        <v>418</v>
      </c>
      <c r="C21" s="238" t="s">
        <v>425</v>
      </c>
      <c r="D21" s="68"/>
      <c r="E21" s="240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256"/>
    </row>
    <row r="22" spans="1:18" ht="25.5">
      <c r="A22" s="147">
        <v>1</v>
      </c>
      <c r="B22" s="10"/>
      <c r="C22" s="98" t="s">
        <v>428</v>
      </c>
      <c r="D22" s="80" t="s">
        <v>66</v>
      </c>
      <c r="E22" s="237">
        <f>3.5*5*5+2*21*1.5</f>
        <v>150.5</v>
      </c>
      <c r="F22" s="66"/>
      <c r="G22" s="66"/>
      <c r="H22" s="66"/>
      <c r="I22" s="66"/>
      <c r="J22" s="67"/>
      <c r="K22" s="182"/>
      <c r="L22" s="11"/>
      <c r="M22" s="182"/>
      <c r="N22" s="182"/>
      <c r="O22" s="182"/>
      <c r="P22" s="254"/>
    </row>
    <row r="23" spans="1:18">
      <c r="A23" s="147">
        <v>2</v>
      </c>
      <c r="B23" s="10"/>
      <c r="C23" s="166" t="s">
        <v>426</v>
      </c>
      <c r="D23" s="61" t="s">
        <v>73</v>
      </c>
      <c r="E23" s="237">
        <v>2</v>
      </c>
      <c r="F23" s="66"/>
      <c r="G23" s="66"/>
      <c r="H23" s="66"/>
      <c r="I23" s="66"/>
      <c r="J23" s="234"/>
      <c r="K23" s="182"/>
      <c r="L23" s="11"/>
      <c r="M23" s="182"/>
      <c r="N23" s="182"/>
      <c r="O23" s="182"/>
      <c r="P23" s="254"/>
    </row>
    <row r="24" spans="1:18">
      <c r="A24" s="147">
        <v>3</v>
      </c>
      <c r="B24" s="10"/>
      <c r="C24" s="166" t="s">
        <v>459</v>
      </c>
      <c r="D24" s="61" t="s">
        <v>63</v>
      </c>
      <c r="E24" s="237">
        <v>21</v>
      </c>
      <c r="F24" s="66"/>
      <c r="G24" s="66"/>
      <c r="H24" s="66"/>
      <c r="I24" s="66"/>
      <c r="J24" s="234"/>
      <c r="K24" s="182"/>
      <c r="L24" s="11"/>
      <c r="M24" s="182"/>
      <c r="N24" s="182"/>
      <c r="O24" s="182"/>
      <c r="P24" s="254"/>
    </row>
    <row r="25" spans="1:18">
      <c r="A25" s="147">
        <v>4</v>
      </c>
      <c r="B25" s="10"/>
      <c r="C25" s="166" t="s">
        <v>460</v>
      </c>
      <c r="D25" s="61" t="s">
        <v>44</v>
      </c>
      <c r="E25" s="237">
        <v>2</v>
      </c>
      <c r="F25" s="66"/>
      <c r="G25" s="66"/>
      <c r="H25" s="66"/>
      <c r="I25" s="66"/>
      <c r="J25" s="234"/>
      <c r="K25" s="182"/>
      <c r="L25" s="11"/>
      <c r="M25" s="182"/>
      <c r="N25" s="182"/>
      <c r="O25" s="182"/>
      <c r="P25" s="254"/>
    </row>
    <row r="26" spans="1:18" ht="25.5">
      <c r="A26" s="147">
        <v>5</v>
      </c>
      <c r="B26" s="10"/>
      <c r="C26" s="166" t="s">
        <v>427</v>
      </c>
      <c r="D26" s="80" t="s">
        <v>66</v>
      </c>
      <c r="E26" s="237">
        <f>5*5*0.3</f>
        <v>7.5</v>
      </c>
      <c r="F26" s="66"/>
      <c r="G26" s="66"/>
      <c r="H26" s="66"/>
      <c r="I26" s="66"/>
      <c r="J26" s="67"/>
      <c r="K26" s="182"/>
      <c r="L26" s="11"/>
      <c r="M26" s="182"/>
      <c r="N26" s="182"/>
      <c r="O26" s="182"/>
      <c r="P26" s="254"/>
    </row>
    <row r="27" spans="1:18" ht="25.5">
      <c r="A27" s="189">
        <v>6</v>
      </c>
      <c r="B27" s="178"/>
      <c r="C27" s="235" t="s">
        <v>429</v>
      </c>
      <c r="D27" s="236" t="s">
        <v>73</v>
      </c>
      <c r="E27" s="71">
        <v>1</v>
      </c>
      <c r="F27" s="71"/>
      <c r="G27" s="66"/>
      <c r="H27" s="66"/>
      <c r="I27" s="71"/>
      <c r="J27" s="234"/>
      <c r="K27" s="182"/>
      <c r="L27" s="71"/>
      <c r="M27" s="71"/>
      <c r="N27" s="71"/>
      <c r="O27" s="71"/>
      <c r="P27" s="162"/>
    </row>
    <row r="28" spans="1:18" ht="25.5">
      <c r="A28" s="147">
        <v>7</v>
      </c>
      <c r="B28" s="10"/>
      <c r="C28" s="166" t="s">
        <v>430</v>
      </c>
      <c r="D28" s="80" t="s">
        <v>66</v>
      </c>
      <c r="E28" s="237">
        <f>E26*4</f>
        <v>30</v>
      </c>
      <c r="F28" s="66"/>
      <c r="G28" s="66"/>
      <c r="H28" s="66"/>
      <c r="I28" s="66"/>
      <c r="J28" s="67"/>
      <c r="K28" s="182"/>
      <c r="L28" s="11"/>
      <c r="M28" s="182"/>
      <c r="N28" s="182"/>
      <c r="O28" s="182"/>
      <c r="P28" s="254"/>
    </row>
    <row r="29" spans="1:18" ht="38.25">
      <c r="A29" s="147">
        <v>8</v>
      </c>
      <c r="B29" s="10"/>
      <c r="C29" s="166" t="s">
        <v>422</v>
      </c>
      <c r="D29" s="80" t="s">
        <v>66</v>
      </c>
      <c r="E29" s="237">
        <f>E22-E26-E28</f>
        <v>113</v>
      </c>
      <c r="F29" s="66"/>
      <c r="G29" s="66"/>
      <c r="H29" s="66"/>
      <c r="I29" s="66"/>
      <c r="J29" s="67"/>
      <c r="K29" s="182"/>
      <c r="L29" s="11"/>
      <c r="M29" s="182"/>
      <c r="N29" s="182"/>
      <c r="O29" s="182"/>
      <c r="P29" s="254"/>
    </row>
    <row r="30" spans="1:18" ht="15" customHeight="1">
      <c r="A30" s="147">
        <v>9</v>
      </c>
      <c r="B30" s="10"/>
      <c r="C30" s="166" t="s">
        <v>417</v>
      </c>
      <c r="D30" s="80" t="s">
        <v>66</v>
      </c>
      <c r="E30" s="239">
        <f>E26+E28</f>
        <v>37.5</v>
      </c>
      <c r="F30" s="66"/>
      <c r="G30" s="66"/>
      <c r="H30" s="66"/>
      <c r="I30" s="181"/>
      <c r="J30" s="67"/>
      <c r="K30" s="182"/>
      <c r="L30" s="11"/>
      <c r="M30" s="182"/>
      <c r="N30" s="182"/>
      <c r="O30" s="182"/>
      <c r="P30" s="254"/>
    </row>
    <row r="31" spans="1:18">
      <c r="A31" s="255"/>
      <c r="B31" s="64" t="s">
        <v>418</v>
      </c>
      <c r="C31" s="238" t="s">
        <v>431</v>
      </c>
      <c r="D31" s="68"/>
      <c r="E31" s="240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256"/>
    </row>
    <row r="32" spans="1:18" ht="25.5">
      <c r="A32" s="147">
        <v>1</v>
      </c>
      <c r="B32" s="10"/>
      <c r="C32" s="98" t="s">
        <v>420</v>
      </c>
      <c r="D32" s="80" t="s">
        <v>66</v>
      </c>
      <c r="E32" s="237">
        <f>1.5*1.5*(11.35+16.9+46.5+16.9+3.8+5+25)</f>
        <v>282.26</v>
      </c>
      <c r="F32" s="66"/>
      <c r="G32" s="66"/>
      <c r="H32" s="66"/>
      <c r="I32" s="66"/>
      <c r="J32" s="67"/>
      <c r="K32" s="182"/>
      <c r="L32" s="11"/>
      <c r="M32" s="182"/>
      <c r="N32" s="182"/>
      <c r="O32" s="182"/>
      <c r="P32" s="254"/>
    </row>
    <row r="33" spans="1:18" ht="25.5">
      <c r="A33" s="147">
        <v>2</v>
      </c>
      <c r="B33" s="10"/>
      <c r="C33" s="166" t="s">
        <v>415</v>
      </c>
      <c r="D33" s="80" t="s">
        <v>66</v>
      </c>
      <c r="E33" s="237">
        <f>(11.35+16.9+46.5+16.9+3.8+5+25)*1*0.15</f>
        <v>18.82</v>
      </c>
      <c r="F33" s="66"/>
      <c r="G33" s="66"/>
      <c r="H33" s="66"/>
      <c r="I33" s="66"/>
      <c r="J33" s="67"/>
      <c r="K33" s="182"/>
      <c r="L33" s="11"/>
      <c r="M33" s="182"/>
      <c r="N33" s="182"/>
      <c r="O33" s="182"/>
      <c r="P33" s="254"/>
    </row>
    <row r="34" spans="1:18" ht="25.5">
      <c r="A34" s="147">
        <v>3</v>
      </c>
      <c r="B34" s="10"/>
      <c r="C34" s="166" t="s">
        <v>416</v>
      </c>
      <c r="D34" s="80" t="s">
        <v>66</v>
      </c>
      <c r="E34" s="237">
        <f>E33*2</f>
        <v>37.64</v>
      </c>
      <c r="F34" s="66"/>
      <c r="G34" s="66"/>
      <c r="H34" s="66"/>
      <c r="I34" s="66"/>
      <c r="J34" s="67"/>
      <c r="K34" s="182"/>
      <c r="L34" s="11"/>
      <c r="M34" s="182"/>
      <c r="N34" s="182"/>
      <c r="O34" s="182"/>
      <c r="P34" s="254"/>
    </row>
    <row r="35" spans="1:18" ht="38.25">
      <c r="A35" s="147">
        <v>4</v>
      </c>
      <c r="B35" s="10"/>
      <c r="C35" s="166" t="s">
        <v>422</v>
      </c>
      <c r="D35" s="80" t="s">
        <v>66</v>
      </c>
      <c r="E35" s="237">
        <f>E32-E33-E34</f>
        <v>225.8</v>
      </c>
      <c r="F35" s="66"/>
      <c r="G35" s="66"/>
      <c r="H35" s="66"/>
      <c r="I35" s="66"/>
      <c r="J35" s="67"/>
      <c r="K35" s="182"/>
      <c r="L35" s="11"/>
      <c r="M35" s="182"/>
      <c r="N35" s="182"/>
      <c r="O35" s="182"/>
      <c r="P35" s="254"/>
    </row>
    <row r="36" spans="1:18" ht="15" customHeight="1">
      <c r="A36" s="147">
        <v>5</v>
      </c>
      <c r="B36" s="10"/>
      <c r="C36" s="166" t="s">
        <v>417</v>
      </c>
      <c r="D36" s="80" t="s">
        <v>66</v>
      </c>
      <c r="E36" s="239">
        <f>E33+E34</f>
        <v>56.46</v>
      </c>
      <c r="F36" s="66"/>
      <c r="G36" s="66"/>
      <c r="H36" s="66"/>
      <c r="I36" s="181"/>
      <c r="J36" s="67"/>
      <c r="K36" s="182"/>
      <c r="L36" s="11"/>
      <c r="M36" s="182"/>
      <c r="N36" s="182"/>
      <c r="O36" s="182"/>
      <c r="P36" s="254"/>
    </row>
    <row r="37" spans="1:18" s="7" customFormat="1" ht="25.5">
      <c r="A37" s="147">
        <v>6</v>
      </c>
      <c r="B37" s="10"/>
      <c r="C37" s="51" t="s">
        <v>433</v>
      </c>
      <c r="D37" s="10" t="s">
        <v>63</v>
      </c>
      <c r="E37" s="11">
        <f>11.35+16.9+46.5+16.9+3.8+5+25</f>
        <v>125.45</v>
      </c>
      <c r="F37" s="11"/>
      <c r="G37" s="66"/>
      <c r="H37" s="11"/>
      <c r="I37" s="11"/>
      <c r="J37" s="11"/>
      <c r="K37" s="11"/>
      <c r="L37" s="11"/>
      <c r="M37" s="11"/>
      <c r="N37" s="11"/>
      <c r="O37" s="11"/>
      <c r="P37" s="152"/>
    </row>
    <row r="38" spans="1:18" s="7" customFormat="1" ht="38.25">
      <c r="A38" s="147">
        <v>7</v>
      </c>
      <c r="B38" s="10"/>
      <c r="C38" s="51" t="s">
        <v>432</v>
      </c>
      <c r="D38" s="10" t="s">
        <v>44</v>
      </c>
      <c r="E38" s="241">
        <v>10</v>
      </c>
      <c r="F38" s="11"/>
      <c r="G38" s="66"/>
      <c r="H38" s="11"/>
      <c r="I38" s="11"/>
      <c r="J38" s="11"/>
      <c r="K38" s="11"/>
      <c r="L38" s="11"/>
      <c r="M38" s="11"/>
      <c r="N38" s="11"/>
      <c r="O38" s="11"/>
      <c r="P38" s="152"/>
      <c r="R38" s="108"/>
    </row>
    <row r="39" spans="1:18" s="7" customFormat="1" ht="25.5">
      <c r="A39" s="147">
        <v>8</v>
      </c>
      <c r="B39" s="10"/>
      <c r="C39" s="51" t="s">
        <v>434</v>
      </c>
      <c r="D39" s="10" t="s">
        <v>63</v>
      </c>
      <c r="E39" s="11">
        <f>10*2</f>
        <v>20</v>
      </c>
      <c r="F39" s="11"/>
      <c r="G39" s="66"/>
      <c r="H39" s="11"/>
      <c r="I39" s="11"/>
      <c r="J39" s="11"/>
      <c r="K39" s="11"/>
      <c r="L39" s="11"/>
      <c r="M39" s="11"/>
      <c r="N39" s="11"/>
      <c r="O39" s="11"/>
      <c r="P39" s="152"/>
    </row>
    <row r="40" spans="1:18">
      <c r="A40" s="147">
        <v>9</v>
      </c>
      <c r="B40" s="10"/>
      <c r="C40" s="51" t="s">
        <v>438</v>
      </c>
      <c r="D40" s="10" t="s">
        <v>44</v>
      </c>
      <c r="E40" s="241">
        <v>20</v>
      </c>
      <c r="F40" s="11"/>
      <c r="G40" s="66"/>
      <c r="H40" s="11"/>
      <c r="I40" s="11"/>
      <c r="J40" s="11"/>
      <c r="K40" s="11"/>
      <c r="L40" s="11"/>
      <c r="M40" s="11"/>
      <c r="N40" s="11"/>
      <c r="O40" s="11"/>
      <c r="P40" s="152"/>
    </row>
    <row r="41" spans="1:18">
      <c r="A41" s="147">
        <v>10</v>
      </c>
      <c r="B41" s="10"/>
      <c r="C41" s="51" t="s">
        <v>439</v>
      </c>
      <c r="D41" s="10" t="s">
        <v>44</v>
      </c>
      <c r="E41" s="241">
        <v>10</v>
      </c>
      <c r="F41" s="11"/>
      <c r="G41" s="66"/>
      <c r="H41" s="11"/>
      <c r="I41" s="11"/>
      <c r="J41" s="11"/>
      <c r="K41" s="11"/>
      <c r="L41" s="11"/>
      <c r="M41" s="11"/>
      <c r="N41" s="11"/>
      <c r="O41" s="11"/>
      <c r="P41" s="152"/>
    </row>
    <row r="42" spans="1:18">
      <c r="A42" s="147">
        <v>11</v>
      </c>
      <c r="B42" s="10"/>
      <c r="C42" s="51" t="s">
        <v>440</v>
      </c>
      <c r="D42" s="10" t="s">
        <v>44</v>
      </c>
      <c r="E42" s="241">
        <v>10</v>
      </c>
      <c r="F42" s="11"/>
      <c r="G42" s="66"/>
      <c r="H42" s="11"/>
      <c r="I42" s="11"/>
      <c r="J42" s="11"/>
      <c r="K42" s="11"/>
      <c r="L42" s="11"/>
      <c r="M42" s="11"/>
      <c r="N42" s="11"/>
      <c r="O42" s="11"/>
      <c r="P42" s="152"/>
    </row>
    <row r="43" spans="1:18" ht="25.5">
      <c r="A43" s="147">
        <v>12</v>
      </c>
      <c r="B43" s="10"/>
      <c r="C43" s="51" t="s">
        <v>435</v>
      </c>
      <c r="D43" s="10" t="s">
        <v>44</v>
      </c>
      <c r="E43" s="241">
        <v>10</v>
      </c>
      <c r="F43" s="11"/>
      <c r="G43" s="66"/>
      <c r="H43" s="11"/>
      <c r="I43" s="11"/>
      <c r="J43" s="11"/>
      <c r="K43" s="11"/>
      <c r="L43" s="11"/>
      <c r="M43" s="11"/>
      <c r="N43" s="11"/>
      <c r="O43" s="11"/>
      <c r="P43" s="152"/>
    </row>
    <row r="44" spans="1:18" ht="25.5">
      <c r="A44" s="147">
        <v>13</v>
      </c>
      <c r="B44" s="10"/>
      <c r="C44" s="51" t="s">
        <v>436</v>
      </c>
      <c r="D44" s="10" t="s">
        <v>44</v>
      </c>
      <c r="E44" s="241">
        <v>10</v>
      </c>
      <c r="F44" s="11"/>
      <c r="G44" s="66"/>
      <c r="H44" s="11"/>
      <c r="I44" s="11"/>
      <c r="J44" s="11"/>
      <c r="K44" s="11"/>
      <c r="L44" s="11"/>
      <c r="M44" s="11"/>
      <c r="N44" s="11"/>
      <c r="O44" s="11"/>
      <c r="P44" s="152"/>
    </row>
    <row r="45" spans="1:18">
      <c r="A45" s="147">
        <v>14</v>
      </c>
      <c r="B45" s="10"/>
      <c r="C45" s="51" t="s">
        <v>437</v>
      </c>
      <c r="D45" s="10" t="s">
        <v>63</v>
      </c>
      <c r="E45" s="11">
        <f>E37</f>
        <v>125.45</v>
      </c>
      <c r="F45" s="11"/>
      <c r="G45" s="66"/>
      <c r="H45" s="11"/>
      <c r="I45" s="11"/>
      <c r="J45" s="11"/>
      <c r="K45" s="11"/>
      <c r="L45" s="11"/>
      <c r="M45" s="11"/>
      <c r="N45" s="11"/>
      <c r="O45" s="11"/>
      <c r="P45" s="152"/>
    </row>
    <row r="46" spans="1:18" ht="38.25">
      <c r="A46" s="147">
        <v>15</v>
      </c>
      <c r="B46" s="10"/>
      <c r="C46" s="259" t="s">
        <v>441</v>
      </c>
      <c r="D46" s="109" t="s">
        <v>73</v>
      </c>
      <c r="E46" s="111">
        <v>1</v>
      </c>
      <c r="F46" s="71"/>
      <c r="G46" s="66"/>
      <c r="H46" s="70"/>
      <c r="I46" s="71"/>
      <c r="J46" s="71"/>
      <c r="K46" s="70"/>
      <c r="L46" s="11"/>
      <c r="M46" s="11"/>
      <c r="N46" s="11"/>
      <c r="O46" s="11"/>
      <c r="P46" s="152"/>
    </row>
    <row r="47" spans="1:18">
      <c r="A47" s="147">
        <v>16</v>
      </c>
      <c r="B47" s="10"/>
      <c r="C47" s="51" t="s">
        <v>442</v>
      </c>
      <c r="D47" s="10" t="s">
        <v>63</v>
      </c>
      <c r="E47" s="241">
        <f>E37+E15+10</f>
        <v>190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52"/>
    </row>
    <row r="48" spans="1:18" ht="15" thickBot="1">
      <c r="A48" s="126"/>
      <c r="B48" s="127"/>
      <c r="C48" s="390" t="s">
        <v>97</v>
      </c>
      <c r="D48" s="390"/>
      <c r="E48" s="390"/>
      <c r="F48" s="390"/>
      <c r="G48" s="390"/>
      <c r="H48" s="390"/>
      <c r="I48" s="390"/>
      <c r="J48" s="390"/>
      <c r="K48" s="390"/>
      <c r="L48" s="153">
        <f>SUM(L13:L47)</f>
        <v>0</v>
      </c>
      <c r="M48" s="153">
        <f>SUM(M13:M47)</f>
        <v>0</v>
      </c>
      <c r="N48" s="153">
        <f>SUM(N13:N47)</f>
        <v>0</v>
      </c>
      <c r="O48" s="153">
        <f>SUM(O13:O47)</f>
        <v>0</v>
      </c>
      <c r="P48" s="154">
        <f>SUM(P13:P47)</f>
        <v>0</v>
      </c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59"/>
    </row>
    <row r="50" spans="1:16">
      <c r="A50" s="6"/>
      <c r="B50" s="6"/>
      <c r="C50" s="5" t="s">
        <v>21</v>
      </c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4"/>
    </row>
    <row r="51" spans="1:16">
      <c r="A51" s="5"/>
      <c r="B51" s="5"/>
      <c r="C51" s="3"/>
      <c r="D51" s="392" t="s">
        <v>22</v>
      </c>
      <c r="E51" s="392"/>
      <c r="F51" s="392"/>
      <c r="G51" s="392"/>
      <c r="H51" s="392"/>
      <c r="I51" s="392"/>
      <c r="J51" s="392"/>
      <c r="K51" s="392"/>
      <c r="L51" s="392"/>
      <c r="M51" s="392"/>
      <c r="N51" s="392"/>
      <c r="O51" s="392"/>
      <c r="P51" s="4"/>
    </row>
    <row r="52" spans="1:16">
      <c r="A52" s="3"/>
      <c r="B52" s="3"/>
      <c r="C52" s="5" t="s">
        <v>23</v>
      </c>
      <c r="D52" s="354"/>
      <c r="E52" s="354"/>
      <c r="F52" s="354"/>
      <c r="G52" s="3"/>
      <c r="H52" s="3"/>
      <c r="I52" s="3"/>
      <c r="J52" s="3"/>
      <c r="K52" s="3"/>
      <c r="L52" s="3"/>
      <c r="M52" s="3"/>
      <c r="N52" s="3"/>
      <c r="O52" s="3"/>
      <c r="P52" s="4"/>
    </row>
    <row r="53" spans="1:16">
      <c r="A53" s="3"/>
      <c r="B53" s="3"/>
      <c r="C53" s="5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/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ht="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</sheetData>
  <mergeCells count="22">
    <mergeCell ref="D52:F52"/>
    <mergeCell ref="A8:J8"/>
    <mergeCell ref="A9:A10"/>
    <mergeCell ref="B9:B10"/>
    <mergeCell ref="C9:C10"/>
    <mergeCell ref="D9:D10"/>
    <mergeCell ref="E9:E10"/>
    <mergeCell ref="O7:P7"/>
    <mergeCell ref="L9:P9"/>
    <mergeCell ref="C48:K48"/>
    <mergeCell ref="D50:O50"/>
    <mergeCell ref="D51:O51"/>
    <mergeCell ref="A5:K5"/>
    <mergeCell ref="F9:K9"/>
    <mergeCell ref="A6:D6"/>
    <mergeCell ref="A7:H7"/>
    <mergeCell ref="L7:N7"/>
    <mergeCell ref="L1:O1"/>
    <mergeCell ref="A2:C2"/>
    <mergeCell ref="L2:O2"/>
    <mergeCell ref="A3:D3"/>
    <mergeCell ref="L3:O3"/>
  </mergeCells>
  <conditionalFormatting sqref="D15">
    <cfRule type="cellIs" dxfId="13" priority="105" stopIfTrue="1" operator="equal">
      <formula>0</formula>
    </cfRule>
    <cfRule type="expression" dxfId="12" priority="106" stopIfTrue="1">
      <formula>#N/A</formula>
    </cfRule>
  </conditionalFormatting>
  <conditionalFormatting sqref="D19:D20">
    <cfRule type="cellIs" dxfId="11" priority="101" stopIfTrue="1" operator="equal">
      <formula>0</formula>
    </cfRule>
    <cfRule type="expression" dxfId="10" priority="102" stopIfTrue="1">
      <formula>#N/A</formula>
    </cfRule>
  </conditionalFormatting>
  <conditionalFormatting sqref="D23:D25">
    <cfRule type="cellIs" dxfId="9" priority="1" stopIfTrue="1" operator="equal">
      <formula>0</formula>
    </cfRule>
    <cfRule type="expression" dxfId="8" priority="2" stopIfTrue="1">
      <formula>#N/A</formula>
    </cfRule>
  </conditionalFormatting>
  <conditionalFormatting sqref="D27">
    <cfRule type="cellIs" dxfId="7" priority="49" stopIfTrue="1" operator="equal">
      <formula>0</formula>
    </cfRule>
    <cfRule type="expression" dxfId="6" priority="50" stopIfTrue="1">
      <formula>#N/A</formula>
    </cfRule>
  </conditionalFormatting>
  <conditionalFormatting sqref="D37:D48">
    <cfRule type="cellIs" dxfId="5" priority="5" stopIfTrue="1" operator="equal">
      <formula>0</formula>
    </cfRule>
    <cfRule type="expression" dxfId="4" priority="6" stopIfTrue="1">
      <formula>#N/A</formula>
    </cfRule>
  </conditionalFormatting>
  <hyperlinks>
    <hyperlink ref="L1" r:id="rId1" tooltip="Atvērt citā formātā" display="https://likumi.lv/wwwraksti/2017/103/BILDES/N_239/P5.DOCX" xr:uid="{2E41DD63-DC47-45CB-9B4F-58F26C3568ED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F36E-10D3-4E34-9B95-59417BEA12E0}">
  <sheetPr>
    <pageSetUpPr fitToPage="1"/>
  </sheetPr>
  <dimension ref="A1:P39"/>
  <sheetViews>
    <sheetView zoomScale="130" zoomScaleNormal="130" workbookViewId="0">
      <selection activeCell="A6" sqref="A6:D6"/>
    </sheetView>
  </sheetViews>
  <sheetFormatPr defaultColWidth="9.140625" defaultRowHeight="14.25"/>
  <cols>
    <col min="1" max="1" width="6" style="1" customWidth="1"/>
    <col min="2" max="2" width="8.42578125" style="1" customWidth="1"/>
    <col min="3" max="3" width="43.28515625" style="1" customWidth="1"/>
    <col min="4" max="4" width="4.85546875" style="1" customWidth="1"/>
    <col min="5" max="5" width="7.42578125" style="1" customWidth="1"/>
    <col min="6" max="6" width="7.7109375" style="1" customWidth="1"/>
    <col min="7" max="7" width="8.140625" style="1" customWidth="1"/>
    <col min="8" max="9" width="8.85546875" style="1" customWidth="1"/>
    <col min="10" max="10" width="8.28515625" style="1" customWidth="1"/>
    <col min="11" max="11" width="8.140625" style="1" customWidth="1"/>
    <col min="12" max="12" width="10.42578125" style="1" customWidth="1"/>
    <col min="13" max="14" width="9.140625" style="1"/>
    <col min="15" max="15" width="9.28515625" style="1" customWidth="1"/>
    <col min="16" max="16" width="8.85546875" style="1" customWidth="1"/>
    <col min="17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413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443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539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6" ht="15" thickBot="1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</row>
    <row r="10" spans="1:16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s="172" customFormat="1" ht="1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28">
        <v>6</v>
      </c>
      <c r="G11" s="128">
        <v>7</v>
      </c>
      <c r="H11" s="128">
        <v>8</v>
      </c>
      <c r="I11" s="128">
        <v>9</v>
      </c>
      <c r="J11" s="128">
        <v>10</v>
      </c>
      <c r="K11" s="128">
        <v>11</v>
      </c>
      <c r="L11" s="128">
        <v>12</v>
      </c>
      <c r="M11" s="128">
        <v>13</v>
      </c>
      <c r="N11" s="128">
        <v>14</v>
      </c>
      <c r="O11" s="128">
        <v>15</v>
      </c>
      <c r="P11" s="129">
        <v>16</v>
      </c>
    </row>
    <row r="12" spans="1:16">
      <c r="A12" s="157"/>
      <c r="B12" s="190" t="s">
        <v>297</v>
      </c>
      <c r="C12" s="158" t="s">
        <v>444</v>
      </c>
      <c r="D12" s="158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1"/>
    </row>
    <row r="13" spans="1:16" s="249" customFormat="1" ht="14.25" customHeight="1">
      <c r="A13" s="257">
        <v>1</v>
      </c>
      <c r="B13" s="246"/>
      <c r="C13" s="247" t="s">
        <v>445</v>
      </c>
      <c r="D13" s="248" t="s">
        <v>63</v>
      </c>
      <c r="E13" s="250">
        <v>16</v>
      </c>
      <c r="F13" s="251"/>
      <c r="G13" s="66"/>
      <c r="H13" s="251"/>
      <c r="I13" s="251"/>
      <c r="J13" s="251"/>
      <c r="K13" s="251"/>
      <c r="L13" s="251"/>
      <c r="M13" s="251"/>
      <c r="N13" s="251"/>
      <c r="O13" s="251"/>
      <c r="P13" s="258"/>
    </row>
    <row r="14" spans="1:16">
      <c r="A14" s="147">
        <v>2</v>
      </c>
      <c r="B14" s="10"/>
      <c r="C14" s="166" t="s">
        <v>446</v>
      </c>
      <c r="D14" s="61" t="s">
        <v>63</v>
      </c>
      <c r="E14" s="237">
        <v>18</v>
      </c>
      <c r="F14" s="66"/>
      <c r="G14" s="66"/>
      <c r="H14" s="251"/>
      <c r="I14" s="66"/>
      <c r="J14" s="251"/>
      <c r="K14" s="251"/>
      <c r="L14" s="251"/>
      <c r="M14" s="251"/>
      <c r="N14" s="251"/>
      <c r="O14" s="251"/>
      <c r="P14" s="258"/>
    </row>
    <row r="15" spans="1:16">
      <c r="A15" s="189">
        <v>3</v>
      </c>
      <c r="B15" s="178"/>
      <c r="C15" s="235" t="s">
        <v>447</v>
      </c>
      <c r="D15" s="236" t="s">
        <v>63</v>
      </c>
      <c r="E15" s="71">
        <v>18</v>
      </c>
      <c r="F15" s="71"/>
      <c r="G15" s="66"/>
      <c r="H15" s="251"/>
      <c r="I15" s="71"/>
      <c r="J15" s="251"/>
      <c r="K15" s="251"/>
      <c r="L15" s="251"/>
      <c r="M15" s="251"/>
      <c r="N15" s="251"/>
      <c r="O15" s="251"/>
      <c r="P15" s="258"/>
    </row>
    <row r="16" spans="1:16">
      <c r="A16" s="257">
        <v>4</v>
      </c>
      <c r="B16" s="246"/>
      <c r="C16" s="247" t="s">
        <v>448</v>
      </c>
      <c r="D16" s="248" t="s">
        <v>73</v>
      </c>
      <c r="E16" s="250">
        <v>1</v>
      </c>
      <c r="F16" s="251"/>
      <c r="G16" s="66"/>
      <c r="H16" s="251"/>
      <c r="I16" s="251"/>
      <c r="J16" s="251"/>
      <c r="K16" s="251"/>
      <c r="L16" s="251"/>
      <c r="M16" s="251"/>
      <c r="N16" s="251"/>
      <c r="O16" s="251"/>
      <c r="P16" s="258"/>
    </row>
    <row r="17" spans="1:16">
      <c r="A17" s="257">
        <v>5</v>
      </c>
      <c r="B17" s="246"/>
      <c r="C17" s="247" t="s">
        <v>449</v>
      </c>
      <c r="D17" s="248" t="s">
        <v>44</v>
      </c>
      <c r="E17" s="250">
        <v>1</v>
      </c>
      <c r="F17" s="251"/>
      <c r="G17" s="66"/>
      <c r="H17" s="251"/>
      <c r="I17" s="251"/>
      <c r="J17" s="251"/>
      <c r="K17" s="251"/>
      <c r="L17" s="251"/>
      <c r="M17" s="251"/>
      <c r="N17" s="251"/>
      <c r="O17" s="251"/>
      <c r="P17" s="258"/>
    </row>
    <row r="18" spans="1:16" s="249" customFormat="1" ht="12.75">
      <c r="A18" s="257">
        <v>6</v>
      </c>
      <c r="B18" s="246"/>
      <c r="C18" s="247" t="s">
        <v>450</v>
      </c>
      <c r="D18" s="248" t="s">
        <v>73</v>
      </c>
      <c r="E18" s="250">
        <v>4</v>
      </c>
      <c r="F18" s="251"/>
      <c r="G18" s="66"/>
      <c r="H18" s="251"/>
      <c r="I18" s="251"/>
      <c r="J18" s="251"/>
      <c r="K18" s="251"/>
      <c r="L18" s="251"/>
      <c r="M18" s="251"/>
      <c r="N18" s="251"/>
      <c r="O18" s="251"/>
      <c r="P18" s="258"/>
    </row>
    <row r="19" spans="1:16" ht="15" customHeight="1">
      <c r="A19" s="257">
        <v>7</v>
      </c>
      <c r="B19" s="246"/>
      <c r="C19" s="247" t="s">
        <v>451</v>
      </c>
      <c r="D19" s="248" t="s">
        <v>63</v>
      </c>
      <c r="E19" s="250">
        <v>16</v>
      </c>
      <c r="F19" s="251"/>
      <c r="G19" s="66"/>
      <c r="H19" s="251"/>
      <c r="I19" s="363"/>
      <c r="J19" s="363"/>
      <c r="K19" s="363"/>
      <c r="L19" s="364"/>
      <c r="M19" s="363"/>
      <c r="N19" s="251"/>
      <c r="O19" s="251"/>
      <c r="P19" s="258"/>
    </row>
    <row r="20" spans="1:16">
      <c r="A20" s="257">
        <v>8</v>
      </c>
      <c r="B20" s="246"/>
      <c r="C20" s="247" t="s">
        <v>452</v>
      </c>
      <c r="D20" s="248" t="s">
        <v>73</v>
      </c>
      <c r="E20" s="250">
        <v>1</v>
      </c>
      <c r="F20" s="251"/>
      <c r="G20" s="66"/>
      <c r="H20" s="251"/>
      <c r="I20" s="363"/>
      <c r="J20" s="363"/>
      <c r="K20" s="363"/>
      <c r="L20" s="363"/>
      <c r="M20" s="363"/>
      <c r="N20" s="251"/>
      <c r="O20" s="251"/>
      <c r="P20" s="258"/>
    </row>
    <row r="21" spans="1:16" ht="25.5">
      <c r="A21" s="147">
        <v>9</v>
      </c>
      <c r="B21" s="10"/>
      <c r="C21" s="166" t="s">
        <v>453</v>
      </c>
      <c r="D21" s="248" t="s">
        <v>73</v>
      </c>
      <c r="E21" s="239">
        <v>1</v>
      </c>
      <c r="F21" s="66"/>
      <c r="G21" s="66"/>
      <c r="H21" s="66"/>
      <c r="I21" s="66"/>
      <c r="J21" s="234"/>
      <c r="K21" s="182"/>
      <c r="L21" s="180"/>
      <c r="M21" s="182"/>
      <c r="N21" s="182"/>
      <c r="O21" s="182"/>
      <c r="P21" s="254"/>
    </row>
    <row r="22" spans="1:16">
      <c r="A22" s="255"/>
      <c r="B22" s="64" t="s">
        <v>297</v>
      </c>
      <c r="C22" s="238" t="s">
        <v>454</v>
      </c>
      <c r="D22" s="68"/>
      <c r="E22" s="240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256"/>
    </row>
    <row r="23" spans="1:16" s="249" customFormat="1" ht="14.25" customHeight="1">
      <c r="A23" s="257">
        <v>1</v>
      </c>
      <c r="B23" s="246"/>
      <c r="C23" s="247" t="s">
        <v>445</v>
      </c>
      <c r="D23" s="248" t="s">
        <v>63</v>
      </c>
      <c r="E23" s="250">
        <v>35</v>
      </c>
      <c r="F23" s="251"/>
      <c r="G23" s="66"/>
      <c r="H23" s="251"/>
      <c r="I23" s="251"/>
      <c r="J23" s="251"/>
      <c r="K23" s="251"/>
      <c r="L23" s="251"/>
      <c r="M23" s="251"/>
      <c r="N23" s="251"/>
      <c r="O23" s="251"/>
      <c r="P23" s="258"/>
    </row>
    <row r="24" spans="1:16">
      <c r="A24" s="147">
        <v>2</v>
      </c>
      <c r="B24" s="10"/>
      <c r="C24" s="166" t="s">
        <v>446</v>
      </c>
      <c r="D24" s="61" t="s">
        <v>63</v>
      </c>
      <c r="E24" s="237">
        <v>35</v>
      </c>
      <c r="F24" s="66"/>
      <c r="G24" s="66"/>
      <c r="H24" s="251"/>
      <c r="I24" s="66"/>
      <c r="J24" s="251"/>
      <c r="K24" s="251"/>
      <c r="L24" s="251"/>
      <c r="M24" s="251"/>
      <c r="N24" s="251"/>
      <c r="O24" s="251"/>
      <c r="P24" s="258"/>
    </row>
    <row r="25" spans="1:16">
      <c r="A25" s="189">
        <v>3</v>
      </c>
      <c r="B25" s="178"/>
      <c r="C25" s="235" t="s">
        <v>457</v>
      </c>
      <c r="D25" s="236" t="s">
        <v>63</v>
      </c>
      <c r="E25" s="71">
        <v>40</v>
      </c>
      <c r="F25" s="71"/>
      <c r="G25" s="66"/>
      <c r="H25" s="251"/>
      <c r="I25" s="71"/>
      <c r="J25" s="251"/>
      <c r="K25" s="251"/>
      <c r="L25" s="251"/>
      <c r="M25" s="251"/>
      <c r="N25" s="251"/>
      <c r="O25" s="251"/>
      <c r="P25" s="258"/>
    </row>
    <row r="26" spans="1:16">
      <c r="A26" s="257">
        <v>4</v>
      </c>
      <c r="B26" s="246"/>
      <c r="C26" s="247" t="s">
        <v>456</v>
      </c>
      <c r="D26" s="248" t="s">
        <v>44</v>
      </c>
      <c r="E26" s="250">
        <v>2</v>
      </c>
      <c r="F26" s="251"/>
      <c r="G26" s="66"/>
      <c r="H26" s="251"/>
      <c r="I26" s="251"/>
      <c r="J26" s="251"/>
      <c r="K26" s="251"/>
      <c r="L26" s="251"/>
      <c r="M26" s="251"/>
      <c r="N26" s="251"/>
      <c r="O26" s="251"/>
      <c r="P26" s="258"/>
    </row>
    <row r="27" spans="1:16" s="249" customFormat="1" ht="12.75">
      <c r="A27" s="257">
        <v>5</v>
      </c>
      <c r="B27" s="246"/>
      <c r="C27" s="247" t="s">
        <v>458</v>
      </c>
      <c r="D27" s="248" t="s">
        <v>73</v>
      </c>
      <c r="E27" s="250">
        <v>4</v>
      </c>
      <c r="F27" s="252"/>
      <c r="G27" s="66"/>
      <c r="H27" s="253"/>
      <c r="I27" s="253"/>
      <c r="J27" s="253"/>
      <c r="K27" s="251"/>
      <c r="L27" s="251"/>
      <c r="M27" s="251"/>
      <c r="N27" s="251"/>
      <c r="O27" s="251"/>
      <c r="P27" s="258"/>
    </row>
    <row r="28" spans="1:16" ht="15" customHeight="1">
      <c r="A28" s="257">
        <v>6</v>
      </c>
      <c r="B28" s="246"/>
      <c r="C28" s="247" t="s">
        <v>451</v>
      </c>
      <c r="D28" s="248" t="s">
        <v>63</v>
      </c>
      <c r="E28" s="250">
        <v>35</v>
      </c>
      <c r="F28" s="251"/>
      <c r="G28" s="66"/>
      <c r="H28" s="251"/>
      <c r="I28" s="251"/>
      <c r="J28" s="251"/>
      <c r="K28" s="251"/>
      <c r="L28" s="251"/>
      <c r="M28" s="251"/>
      <c r="N28" s="251"/>
      <c r="O28" s="251"/>
      <c r="P28" s="258"/>
    </row>
    <row r="29" spans="1:16">
      <c r="A29" s="257">
        <v>7</v>
      </c>
      <c r="B29" s="246"/>
      <c r="C29" s="247" t="s">
        <v>452</v>
      </c>
      <c r="D29" s="248" t="s">
        <v>73</v>
      </c>
      <c r="E29" s="250">
        <v>1</v>
      </c>
      <c r="F29" s="251"/>
      <c r="G29" s="66"/>
      <c r="H29" s="251"/>
      <c r="I29" s="251"/>
      <c r="J29" s="251"/>
      <c r="K29" s="251"/>
      <c r="L29" s="251"/>
      <c r="M29" s="251"/>
      <c r="N29" s="251"/>
      <c r="O29" s="251"/>
      <c r="P29" s="258"/>
    </row>
    <row r="30" spans="1:16" ht="39.75" customHeight="1">
      <c r="A30" s="147">
        <v>8</v>
      </c>
      <c r="B30" s="10"/>
      <c r="C30" s="166" t="s">
        <v>455</v>
      </c>
      <c r="D30" s="248" t="s">
        <v>73</v>
      </c>
      <c r="E30" s="239">
        <v>1</v>
      </c>
      <c r="F30" s="66"/>
      <c r="G30" s="66"/>
      <c r="H30" s="66"/>
      <c r="I30" s="66"/>
      <c r="J30" s="234"/>
      <c r="K30" s="182"/>
      <c r="L30" s="180"/>
      <c r="M30" s="182"/>
      <c r="N30" s="182"/>
      <c r="O30" s="182"/>
      <c r="P30" s="254"/>
    </row>
    <row r="31" spans="1:16" ht="15" thickBot="1">
      <c r="A31" s="126"/>
      <c r="B31" s="127"/>
      <c r="C31" s="390" t="s">
        <v>97</v>
      </c>
      <c r="D31" s="390"/>
      <c r="E31" s="390"/>
      <c r="F31" s="390"/>
      <c r="G31" s="390"/>
      <c r="H31" s="390"/>
      <c r="I31" s="390"/>
      <c r="J31" s="390"/>
      <c r="K31" s="390"/>
      <c r="L31" s="153">
        <f>SUM(L13:L30)</f>
        <v>0</v>
      </c>
      <c r="M31" s="153">
        <f>SUM(M13:M30)</f>
        <v>0</v>
      </c>
      <c r="N31" s="153">
        <f>SUM(N13:N30)</f>
        <v>0</v>
      </c>
      <c r="O31" s="153">
        <f>SUM(O13:O30)</f>
        <v>0</v>
      </c>
      <c r="P31" s="154">
        <f>SUM(P13:P30)</f>
        <v>0</v>
      </c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59"/>
    </row>
    <row r="33" spans="1:16">
      <c r="A33" s="6"/>
      <c r="B33" s="6"/>
      <c r="C33" s="5" t="s">
        <v>21</v>
      </c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4"/>
    </row>
    <row r="34" spans="1:16">
      <c r="A34" s="5"/>
      <c r="B34" s="5"/>
      <c r="C34" s="3"/>
      <c r="D34" s="392" t="s">
        <v>22</v>
      </c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4"/>
    </row>
    <row r="35" spans="1:16">
      <c r="A35" s="3"/>
      <c r="B35" s="3"/>
      <c r="C35" s="5" t="s">
        <v>23</v>
      </c>
      <c r="D35" s="354"/>
      <c r="E35" s="354"/>
      <c r="F35" s="354"/>
      <c r="G35" s="3"/>
      <c r="H35" s="3"/>
      <c r="I35" s="3"/>
      <c r="J35" s="3"/>
      <c r="K35" s="3"/>
      <c r="L35" s="3"/>
      <c r="M35" s="3"/>
      <c r="N35" s="3"/>
      <c r="O35" s="3"/>
      <c r="P35" s="4"/>
    </row>
    <row r="36" spans="1:16">
      <c r="A36" s="3"/>
      <c r="B36" s="3"/>
      <c r="C36" s="5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</sheetData>
  <mergeCells count="25">
    <mergeCell ref="D35:F35"/>
    <mergeCell ref="A8:J8"/>
    <mergeCell ref="A9:A10"/>
    <mergeCell ref="B9:B10"/>
    <mergeCell ref="C9:C10"/>
    <mergeCell ref="D9:D10"/>
    <mergeCell ref="E9:E10"/>
    <mergeCell ref="I19:K19"/>
    <mergeCell ref="I20:M20"/>
    <mergeCell ref="O7:P7"/>
    <mergeCell ref="L9:P9"/>
    <mergeCell ref="C31:K31"/>
    <mergeCell ref="D33:O33"/>
    <mergeCell ref="D34:O34"/>
    <mergeCell ref="L19:M19"/>
    <mergeCell ref="A5:K5"/>
    <mergeCell ref="F9:K9"/>
    <mergeCell ref="A6:D6"/>
    <mergeCell ref="A7:H7"/>
    <mergeCell ref="L7:N7"/>
    <mergeCell ref="L1:O1"/>
    <mergeCell ref="A2:C2"/>
    <mergeCell ref="L2:O2"/>
    <mergeCell ref="A3:D3"/>
    <mergeCell ref="L3:O3"/>
  </mergeCells>
  <conditionalFormatting sqref="D13:D21">
    <cfRule type="cellIs" dxfId="3" priority="55" stopIfTrue="1" operator="equal">
      <formula>0</formula>
    </cfRule>
    <cfRule type="expression" dxfId="2" priority="56" stopIfTrue="1">
      <formula>#N/A</formula>
    </cfRule>
  </conditionalFormatting>
  <conditionalFormatting sqref="D23:D31">
    <cfRule type="cellIs" dxfId="1" priority="3" stopIfTrue="1" operator="equal">
      <formula>0</formula>
    </cfRule>
    <cfRule type="expression" dxfId="0" priority="4" stopIfTrue="1">
      <formula>#N/A</formula>
    </cfRule>
  </conditionalFormatting>
  <hyperlinks>
    <hyperlink ref="L1" r:id="rId1" tooltip="Atvērt citā formātā" display="https://likumi.lv/wwwraksti/2017/103/BILDES/N_239/P5.DOCX" xr:uid="{A29894C5-EEB9-4264-AE9C-3FF592B34AAA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3D995-12DA-4FD8-B5A0-BDE8B6E709E4}">
  <dimension ref="A1:J25"/>
  <sheetViews>
    <sheetView workbookViewId="0">
      <selection activeCell="N15" sqref="N15"/>
    </sheetView>
  </sheetViews>
  <sheetFormatPr defaultColWidth="8.7109375" defaultRowHeight="12.75"/>
  <cols>
    <col min="1" max="1" width="5.28515625" style="324" customWidth="1"/>
    <col min="2" max="2" width="52.140625" style="324" customWidth="1"/>
    <col min="3" max="3" width="5.5703125" style="324" bestFit="1" customWidth="1"/>
    <col min="4" max="4" width="6.5703125" style="324" bestFit="1" customWidth="1"/>
    <col min="5" max="5" width="8.7109375" style="324"/>
    <col min="6" max="6" width="9.42578125" style="324" customWidth="1"/>
    <col min="7" max="7" width="9.7109375" style="324" customWidth="1"/>
    <col min="8" max="8" width="18.85546875" style="324" bestFit="1" customWidth="1"/>
    <col min="9" max="9" width="10.5703125" style="324" bestFit="1" customWidth="1"/>
    <col min="10" max="10" width="10.42578125" style="324" bestFit="1" customWidth="1"/>
    <col min="11" max="16384" width="8.7109375" style="324"/>
  </cols>
  <sheetData>
    <row r="1" spans="1:9" ht="15">
      <c r="A1" s="322" t="s">
        <v>541</v>
      </c>
      <c r="B1" s="322"/>
      <c r="C1" s="322"/>
      <c r="D1" s="322"/>
      <c r="E1" s="322"/>
      <c r="F1" s="322"/>
      <c r="G1" s="322"/>
      <c r="H1" s="418" t="s">
        <v>542</v>
      </c>
      <c r="I1" s="323"/>
    </row>
    <row r="2" spans="1:9" ht="15">
      <c r="A2" s="322" t="s">
        <v>540</v>
      </c>
      <c r="B2" s="322"/>
      <c r="C2" s="322"/>
      <c r="D2" s="322"/>
      <c r="E2" s="322"/>
      <c r="F2" s="322"/>
      <c r="G2" s="322"/>
      <c r="H2" s="322"/>
      <c r="I2" s="323"/>
    </row>
    <row r="3" spans="1:9" ht="15">
      <c r="A3" s="325" t="s">
        <v>498</v>
      </c>
      <c r="B3" s="325"/>
      <c r="C3" s="325"/>
      <c r="D3" s="325"/>
      <c r="E3" s="325"/>
      <c r="F3" s="325"/>
      <c r="G3" s="325"/>
      <c r="H3" s="325"/>
      <c r="I3" s="326"/>
    </row>
    <row r="4" spans="1:9" ht="15.75">
      <c r="A4" s="344" t="s">
        <v>499</v>
      </c>
      <c r="B4" s="344"/>
      <c r="C4" s="344"/>
      <c r="D4" s="344"/>
      <c r="E4" s="344"/>
      <c r="F4" s="344"/>
      <c r="G4" s="344"/>
      <c r="H4" s="344"/>
      <c r="I4" s="344"/>
    </row>
    <row r="5" spans="1:9" ht="14.25">
      <c r="A5" s="345" t="s">
        <v>500</v>
      </c>
      <c r="B5" s="345"/>
      <c r="C5" s="345"/>
      <c r="D5" s="345"/>
      <c r="E5" s="345"/>
      <c r="F5" s="345"/>
      <c r="G5" s="345"/>
      <c r="H5" s="345"/>
      <c r="I5" s="345"/>
    </row>
    <row r="6" spans="1:9" ht="15">
      <c r="A6" s="323"/>
      <c r="B6" s="323"/>
      <c r="C6" s="323"/>
      <c r="D6" s="323"/>
      <c r="E6" s="323"/>
      <c r="F6" s="323"/>
      <c r="G6" s="323"/>
      <c r="H6" s="327" t="s">
        <v>501</v>
      </c>
      <c r="I6" s="328"/>
    </row>
    <row r="7" spans="1:9" ht="24">
      <c r="A7" s="339" t="s">
        <v>502</v>
      </c>
      <c r="B7" s="339" t="s">
        <v>503</v>
      </c>
      <c r="C7" s="339" t="s">
        <v>504</v>
      </c>
      <c r="D7" s="340" t="s">
        <v>505</v>
      </c>
      <c r="E7" s="341" t="s">
        <v>506</v>
      </c>
      <c r="F7" s="341" t="s">
        <v>507</v>
      </c>
      <c r="G7" s="341" t="s">
        <v>508</v>
      </c>
      <c r="H7" s="341" t="s">
        <v>13</v>
      </c>
      <c r="I7" s="342" t="s">
        <v>509</v>
      </c>
    </row>
    <row r="8" spans="1:9">
      <c r="A8" s="329">
        <v>1</v>
      </c>
      <c r="B8" s="330" t="s">
        <v>510</v>
      </c>
      <c r="C8" s="329" t="s">
        <v>511</v>
      </c>
      <c r="D8" s="331">
        <v>1</v>
      </c>
      <c r="E8" s="331"/>
      <c r="F8" s="331"/>
      <c r="G8" s="331"/>
      <c r="H8" s="331"/>
      <c r="I8" s="332"/>
    </row>
    <row r="9" spans="1:9">
      <c r="A9" s="329"/>
      <c r="B9" s="343" t="s">
        <v>512</v>
      </c>
      <c r="C9" s="329"/>
      <c r="D9" s="331"/>
      <c r="E9" s="331"/>
      <c r="F9" s="331"/>
      <c r="G9" s="331"/>
      <c r="H9" s="331"/>
      <c r="I9" s="332"/>
    </row>
    <row r="10" spans="1:9">
      <c r="A10" s="329">
        <v>2</v>
      </c>
      <c r="B10" s="330" t="s">
        <v>513</v>
      </c>
      <c r="C10" s="329" t="s">
        <v>474</v>
      </c>
      <c r="D10" s="331">
        <f>12.6*20</f>
        <v>252</v>
      </c>
      <c r="E10" s="331"/>
      <c r="F10" s="331"/>
      <c r="G10" s="331"/>
      <c r="H10" s="331"/>
      <c r="I10" s="332"/>
    </row>
    <row r="11" spans="1:9">
      <c r="A11" s="329">
        <v>3</v>
      </c>
      <c r="B11" s="330" t="s">
        <v>514</v>
      </c>
      <c r="C11" s="329" t="s">
        <v>63</v>
      </c>
      <c r="D11" s="331">
        <v>25</v>
      </c>
      <c r="E11" s="331"/>
      <c r="F11" s="331"/>
      <c r="G11" s="331"/>
      <c r="H11" s="331"/>
      <c r="I11" s="332"/>
    </row>
    <row r="12" spans="1:9">
      <c r="A12" s="329">
        <v>4</v>
      </c>
      <c r="B12" s="330" t="s">
        <v>515</v>
      </c>
      <c r="C12" s="329" t="s">
        <v>474</v>
      </c>
      <c r="D12" s="331">
        <v>252</v>
      </c>
      <c r="E12" s="331"/>
      <c r="F12" s="331"/>
      <c r="G12" s="331"/>
      <c r="H12" s="331"/>
      <c r="I12" s="332"/>
    </row>
    <row r="13" spans="1:9">
      <c r="A13" s="329">
        <v>5</v>
      </c>
      <c r="B13" s="330" t="s">
        <v>516</v>
      </c>
      <c r="C13" s="329" t="s">
        <v>511</v>
      </c>
      <c r="D13" s="331">
        <v>1</v>
      </c>
      <c r="E13" s="331"/>
      <c r="F13" s="331"/>
      <c r="G13" s="336"/>
      <c r="H13" s="331"/>
      <c r="I13" s="332"/>
    </row>
    <row r="14" spans="1:9">
      <c r="A14" s="329"/>
      <c r="B14" s="343" t="s">
        <v>517</v>
      </c>
      <c r="C14" s="329"/>
      <c r="D14" s="331"/>
      <c r="E14" s="331"/>
      <c r="F14" s="331"/>
      <c r="G14" s="331"/>
      <c r="H14" s="331"/>
      <c r="I14" s="332"/>
    </row>
    <row r="15" spans="1:9">
      <c r="A15" s="329">
        <v>6</v>
      </c>
      <c r="B15" s="330" t="s">
        <v>518</v>
      </c>
      <c r="C15" s="329" t="s">
        <v>474</v>
      </c>
      <c r="D15" s="331">
        <v>252</v>
      </c>
      <c r="E15" s="331"/>
      <c r="F15" s="331"/>
      <c r="G15" s="331"/>
      <c r="H15" s="331"/>
      <c r="I15" s="332"/>
    </row>
    <row r="16" spans="1:9">
      <c r="A16" s="329">
        <v>7</v>
      </c>
      <c r="B16" s="330" t="s">
        <v>519</v>
      </c>
      <c r="C16" s="329" t="s">
        <v>474</v>
      </c>
      <c r="D16" s="331">
        <v>252</v>
      </c>
      <c r="E16" s="331"/>
      <c r="F16" s="331"/>
      <c r="G16" s="331"/>
      <c r="H16" s="331"/>
      <c r="I16" s="332"/>
    </row>
    <row r="17" spans="1:10">
      <c r="A17" s="329">
        <v>8</v>
      </c>
      <c r="B17" s="330" t="s">
        <v>520</v>
      </c>
      <c r="C17" s="329" t="s">
        <v>474</v>
      </c>
      <c r="D17" s="331">
        <v>252</v>
      </c>
      <c r="E17" s="331"/>
      <c r="F17" s="331"/>
      <c r="G17" s="331"/>
      <c r="H17" s="331"/>
      <c r="I17" s="332"/>
    </row>
    <row r="18" spans="1:10">
      <c r="A18" s="329">
        <v>9</v>
      </c>
      <c r="B18" s="330" t="s">
        <v>521</v>
      </c>
      <c r="C18" s="337" t="s">
        <v>154</v>
      </c>
      <c r="D18" s="338">
        <v>33</v>
      </c>
      <c r="E18" s="331"/>
      <c r="F18" s="331"/>
      <c r="G18" s="331"/>
      <c r="H18" s="331"/>
      <c r="I18" s="332"/>
    </row>
    <row r="19" spans="1:10">
      <c r="A19" s="329">
        <v>10</v>
      </c>
      <c r="B19" s="330" t="s">
        <v>522</v>
      </c>
      <c r="C19" s="337" t="s">
        <v>511</v>
      </c>
      <c r="D19" s="338"/>
      <c r="E19" s="331"/>
      <c r="F19" s="331"/>
      <c r="G19" s="331"/>
      <c r="H19" s="331"/>
      <c r="I19" s="332"/>
    </row>
    <row r="20" spans="1:10">
      <c r="A20" s="329">
        <v>11</v>
      </c>
      <c r="B20" s="330" t="s">
        <v>523</v>
      </c>
      <c r="C20" s="337" t="s">
        <v>511</v>
      </c>
      <c r="D20" s="338"/>
      <c r="E20" s="331"/>
      <c r="F20" s="331"/>
      <c r="G20" s="331"/>
      <c r="H20" s="331"/>
      <c r="I20" s="332"/>
    </row>
    <row r="21" spans="1:10">
      <c r="A21" s="329">
        <v>12</v>
      </c>
      <c r="B21" s="330" t="s">
        <v>524</v>
      </c>
      <c r="C21" s="337" t="s">
        <v>525</v>
      </c>
      <c r="D21" s="338">
        <v>500</v>
      </c>
      <c r="E21" s="331"/>
      <c r="F21" s="331"/>
      <c r="G21" s="331"/>
      <c r="H21" s="331"/>
      <c r="I21" s="332"/>
    </row>
    <row r="22" spans="1:10">
      <c r="A22" s="329">
        <v>13</v>
      </c>
      <c r="B22" s="330" t="s">
        <v>526</v>
      </c>
      <c r="C22" s="337" t="s">
        <v>527</v>
      </c>
      <c r="D22" s="338"/>
      <c r="E22" s="331"/>
      <c r="F22" s="331"/>
      <c r="G22" s="331"/>
      <c r="H22" s="331"/>
      <c r="I22" s="332"/>
    </row>
    <row r="23" spans="1:10" ht="15">
      <c r="A23" s="323"/>
      <c r="B23" s="323"/>
      <c r="C23" s="323"/>
      <c r="E23" s="323"/>
      <c r="F23" s="323"/>
      <c r="H23" s="333" t="s">
        <v>42</v>
      </c>
      <c r="I23" s="334"/>
      <c r="J23" s="335"/>
    </row>
    <row r="24" spans="1:10" ht="15">
      <c r="A24" s="323"/>
      <c r="B24" s="323"/>
      <c r="C24" s="323"/>
      <c r="E24" s="323"/>
      <c r="F24" s="323"/>
      <c r="H24" s="327" t="s">
        <v>43</v>
      </c>
      <c r="I24" s="334"/>
      <c r="J24" s="335"/>
    </row>
    <row r="25" spans="1:10" ht="15">
      <c r="A25" s="323"/>
      <c r="B25" s="323"/>
      <c r="C25" s="323"/>
      <c r="E25" s="323"/>
      <c r="F25" s="323"/>
      <c r="H25" s="333" t="s">
        <v>528</v>
      </c>
      <c r="I25" s="334"/>
    </row>
  </sheetData>
  <mergeCells count="2">
    <mergeCell ref="A4:I4"/>
    <mergeCell ref="A5: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1EC2-7054-4B5D-AFDA-5F5E9D6DEF0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84B8-3919-494C-BFB4-560B1514D987}">
  <dimension ref="A1:N41"/>
  <sheetViews>
    <sheetView topLeftCell="A28" zoomScale="130" zoomScaleNormal="130" workbookViewId="0">
      <selection activeCell="E41" sqref="E41"/>
    </sheetView>
  </sheetViews>
  <sheetFormatPr defaultRowHeight="15"/>
  <cols>
    <col min="2" max="2" width="15.28515625" customWidth="1"/>
    <col min="3" max="3" width="34" customWidth="1"/>
    <col min="4" max="4" width="14.140625" customWidth="1"/>
    <col min="5" max="5" width="9.42578125" bestFit="1" customWidth="1"/>
    <col min="6" max="6" width="10.7109375" customWidth="1"/>
    <col min="7" max="7" width="10.42578125" customWidth="1"/>
    <col min="8" max="8" width="10.7109375" customWidth="1"/>
  </cols>
  <sheetData>
    <row r="1" spans="1:14" s="7" customFormat="1" ht="12.75">
      <c r="F1" s="372" t="s">
        <v>542</v>
      </c>
      <c r="G1" s="373"/>
      <c r="H1" s="373"/>
    </row>
    <row r="2" spans="1:14" s="7" customFormat="1" ht="12.75">
      <c r="F2" s="373" t="s">
        <v>19</v>
      </c>
      <c r="G2" s="373"/>
      <c r="H2" s="373"/>
    </row>
    <row r="3" spans="1:14" s="7" customFormat="1" ht="12.75">
      <c r="F3" s="373" t="s">
        <v>20</v>
      </c>
      <c r="G3" s="373"/>
      <c r="H3" s="373"/>
    </row>
    <row r="4" spans="1:14" s="7" customFormat="1" ht="15.75">
      <c r="A4" s="374" t="s">
        <v>24</v>
      </c>
      <c r="B4" s="374"/>
      <c r="C4" s="374"/>
      <c r="D4" s="374"/>
      <c r="E4" s="374"/>
      <c r="F4" s="374"/>
      <c r="G4" s="374"/>
      <c r="H4" s="374"/>
      <c r="I4" s="8"/>
      <c r="J4" s="8"/>
      <c r="K4" s="8"/>
      <c r="L4" s="8"/>
      <c r="M4" s="8"/>
      <c r="N4" s="8"/>
    </row>
    <row r="5" spans="1:14" s="7" customFormat="1" ht="14.25" customHeight="1">
      <c r="A5" s="9"/>
      <c r="B5" s="9"/>
      <c r="H5" s="9"/>
      <c r="I5" s="8"/>
      <c r="J5" s="8"/>
      <c r="K5" s="8"/>
      <c r="L5" s="8"/>
      <c r="M5" s="8"/>
      <c r="N5" s="8"/>
    </row>
    <row r="6" spans="1:14" s="7" customFormat="1" ht="15" customHeight="1">
      <c r="A6" s="367" t="s">
        <v>543</v>
      </c>
      <c r="B6" s="367"/>
      <c r="C6" s="367"/>
      <c r="D6" s="367"/>
      <c r="E6" s="367"/>
      <c r="F6" s="367"/>
      <c r="G6" s="367"/>
      <c r="H6" s="367"/>
      <c r="I6" s="312"/>
    </row>
    <row r="7" spans="1:14" s="7" customFormat="1" ht="15" customHeight="1">
      <c r="A7" s="367" t="s">
        <v>540</v>
      </c>
      <c r="B7" s="367"/>
      <c r="C7" s="367"/>
      <c r="D7" s="367"/>
      <c r="E7" s="367"/>
      <c r="F7" s="367"/>
      <c r="G7" s="367"/>
      <c r="H7" s="367"/>
      <c r="I7" s="312"/>
    </row>
    <row r="8" spans="1:14" s="7" customFormat="1" ht="15" customHeight="1">
      <c r="A8" s="384" t="s">
        <v>62</v>
      </c>
      <c r="B8" s="384"/>
      <c r="C8" s="384"/>
      <c r="D8" s="384"/>
      <c r="E8" s="384"/>
      <c r="F8" s="384"/>
      <c r="G8" s="384"/>
      <c r="H8" s="384"/>
      <c r="I8" s="312"/>
    </row>
    <row r="9" spans="1:14" s="7" customFormat="1" ht="12.75">
      <c r="A9" s="379"/>
      <c r="B9" s="379"/>
      <c r="C9" s="379"/>
      <c r="E9" s="7" t="s">
        <v>25</v>
      </c>
      <c r="G9" s="321"/>
      <c r="H9" s="58"/>
    </row>
    <row r="10" spans="1:14" s="7" customFormat="1" ht="12.75">
      <c r="A10" s="380"/>
      <c r="B10" s="380"/>
      <c r="C10" s="380"/>
      <c r="E10" s="7" t="s">
        <v>26</v>
      </c>
      <c r="G10" s="58"/>
      <c r="H10" s="58"/>
    </row>
    <row r="11" spans="1:14" s="7" customFormat="1">
      <c r="E11" s="381" t="s">
        <v>530</v>
      </c>
      <c r="F11" s="382"/>
      <c r="G11" s="382"/>
    </row>
    <row r="12" spans="1:14" s="7" customFormat="1" ht="15" customHeight="1">
      <c r="A12" s="377" t="s">
        <v>1</v>
      </c>
      <c r="B12" s="377" t="s">
        <v>27</v>
      </c>
      <c r="C12" s="377" t="s">
        <v>28</v>
      </c>
      <c r="D12" s="377" t="s">
        <v>29</v>
      </c>
      <c r="E12" s="377" t="s">
        <v>30</v>
      </c>
      <c r="F12" s="377"/>
      <c r="G12" s="377"/>
      <c r="H12" s="377" t="s">
        <v>31</v>
      </c>
    </row>
    <row r="13" spans="1:14">
      <c r="A13" s="378"/>
      <c r="B13" s="378"/>
      <c r="C13" s="377"/>
      <c r="D13" s="377"/>
      <c r="E13" s="377"/>
      <c r="F13" s="377"/>
      <c r="G13" s="377"/>
      <c r="H13" s="383"/>
    </row>
    <row r="14" spans="1:14" ht="25.5">
      <c r="A14" s="378"/>
      <c r="B14" s="378"/>
      <c r="C14" s="377"/>
      <c r="D14" s="377"/>
      <c r="E14" s="10" t="s">
        <v>32</v>
      </c>
      <c r="F14" s="10" t="s">
        <v>33</v>
      </c>
      <c r="G14" s="10" t="s">
        <v>34</v>
      </c>
      <c r="H14" s="383"/>
    </row>
    <row r="15" spans="1:14">
      <c r="A15" s="10">
        <v>1</v>
      </c>
      <c r="B15" s="311">
        <v>1</v>
      </c>
      <c r="C15" s="98" t="str">
        <f>Būvlaukums!A3</f>
        <v>Būvlaukuma uzturēšana</v>
      </c>
      <c r="D15" s="11">
        <f>Būvlaukums!P21</f>
        <v>0</v>
      </c>
      <c r="E15" s="11">
        <f>Būvlaukums!M21</f>
        <v>0</v>
      </c>
      <c r="F15" s="11">
        <f>Būvlaukums!N21</f>
        <v>0</v>
      </c>
      <c r="G15" s="11">
        <f>Būvlaukums!O21</f>
        <v>0</v>
      </c>
      <c r="H15" s="320">
        <f>Būvlaukums!L21</f>
        <v>0</v>
      </c>
    </row>
    <row r="16" spans="1:14">
      <c r="A16" s="10">
        <v>2</v>
      </c>
      <c r="B16" s="311">
        <v>2</v>
      </c>
      <c r="C16" s="51" t="s">
        <v>68</v>
      </c>
      <c r="D16" s="11">
        <f>SUM(E16:G16)</f>
        <v>0</v>
      </c>
      <c r="E16" s="11">
        <f>pagrabs!M30</f>
        <v>0</v>
      </c>
      <c r="F16" s="11">
        <f>pagrabs!N30</f>
        <v>0</v>
      </c>
      <c r="G16" s="11">
        <f>pagrabs!O30</f>
        <v>0</v>
      </c>
      <c r="H16" s="320">
        <f>pagrabs!L30</f>
        <v>0</v>
      </c>
    </row>
    <row r="17" spans="1:8">
      <c r="A17" s="10">
        <v>3</v>
      </c>
      <c r="B17" s="311">
        <v>3</v>
      </c>
      <c r="C17" s="51" t="s">
        <v>107</v>
      </c>
      <c r="D17" s="11">
        <f>SUM(E17:G17)</f>
        <v>0</v>
      </c>
      <c r="E17" s="11">
        <f>'1.st BK'!M46</f>
        <v>0</v>
      </c>
      <c r="F17" s="11">
        <f>'1.st BK'!N46</f>
        <v>0</v>
      </c>
      <c r="G17" s="11">
        <f>'1.st BK'!O46</f>
        <v>0</v>
      </c>
      <c r="H17" s="320">
        <f>'1.st BK'!L46</f>
        <v>0</v>
      </c>
    </row>
    <row r="18" spans="1:8">
      <c r="A18" s="10">
        <v>4</v>
      </c>
      <c r="B18" s="311">
        <v>4</v>
      </c>
      <c r="C18" s="51" t="s">
        <v>164</v>
      </c>
      <c r="D18" s="11">
        <f>SUM(E18:G18)</f>
        <v>0</v>
      </c>
      <c r="E18" s="11">
        <f>'2.st+jumts BK'!M19</f>
        <v>0</v>
      </c>
      <c r="F18" s="11">
        <f>'2.st+jumts BK'!N19</f>
        <v>0</v>
      </c>
      <c r="G18" s="11">
        <f>'2.st+jumts BK'!O19</f>
        <v>0</v>
      </c>
      <c r="H18" s="11">
        <f>'2.st+jumts BK'!L19</f>
        <v>0</v>
      </c>
    </row>
    <row r="19" spans="1:8">
      <c r="A19" s="10">
        <v>5</v>
      </c>
      <c r="B19" s="311">
        <v>5</v>
      </c>
      <c r="C19" s="51" t="s">
        <v>108</v>
      </c>
      <c r="D19" s="11">
        <f>'1.st AR'!P273</f>
        <v>0</v>
      </c>
      <c r="E19" s="11">
        <f>'1.st AR'!M273</f>
        <v>0</v>
      </c>
      <c r="F19" s="11">
        <f>'1.st AR'!N273</f>
        <v>0</v>
      </c>
      <c r="G19" s="11">
        <f>'1.st AR'!O273</f>
        <v>0</v>
      </c>
      <c r="H19" s="11">
        <f>'1.st AR'!L273</f>
        <v>0</v>
      </c>
    </row>
    <row r="20" spans="1:8" ht="15" customHeight="1">
      <c r="A20" s="10">
        <v>6</v>
      </c>
      <c r="B20" s="311">
        <v>6</v>
      </c>
      <c r="C20" s="51" t="s">
        <v>163</v>
      </c>
      <c r="D20" s="11">
        <f>'2.st AR'!P214</f>
        <v>0</v>
      </c>
      <c r="E20" s="11">
        <f>'2.st AR'!M214</f>
        <v>0</v>
      </c>
      <c r="F20" s="11">
        <f>'2.st AR'!N214</f>
        <v>0</v>
      </c>
      <c r="G20" s="11">
        <f>'2.st AR'!O214</f>
        <v>0</v>
      </c>
      <c r="H20" s="11">
        <f>'2.st AR'!L214</f>
        <v>0</v>
      </c>
    </row>
    <row r="21" spans="1:8">
      <c r="A21" s="10">
        <v>7</v>
      </c>
      <c r="B21" s="311">
        <v>7</v>
      </c>
      <c r="C21" s="51" t="s">
        <v>228</v>
      </c>
      <c r="D21" s="11">
        <f>SUM(E21:G21)</f>
        <v>0</v>
      </c>
      <c r="E21" s="11">
        <f>jumts!M34</f>
        <v>0</v>
      </c>
      <c r="F21" s="11">
        <f>jumts!N34</f>
        <v>0</v>
      </c>
      <c r="G21" s="11">
        <f>jumts!O34</f>
        <v>0</v>
      </c>
      <c r="H21" s="11">
        <f>jumts!L34</f>
        <v>0</v>
      </c>
    </row>
    <row r="22" spans="1:8">
      <c r="A22" s="10">
        <v>8</v>
      </c>
      <c r="B22" s="311">
        <v>8</v>
      </c>
      <c r="C22" s="51" t="s">
        <v>196</v>
      </c>
      <c r="D22" s="11">
        <f>SUM(E22:G22)</f>
        <v>0</v>
      </c>
      <c r="E22" s="11">
        <f>UK!M42</f>
        <v>0</v>
      </c>
      <c r="F22" s="11">
        <f>UK!N42</f>
        <v>0</v>
      </c>
      <c r="G22" s="11">
        <f>UK!O42</f>
        <v>0</v>
      </c>
      <c r="H22" s="11">
        <f>UK!L42</f>
        <v>0</v>
      </c>
    </row>
    <row r="23" spans="1:8" ht="15" customHeight="1">
      <c r="A23" s="10">
        <v>9</v>
      </c>
      <c r="B23" s="311">
        <v>9</v>
      </c>
      <c r="C23" s="51" t="s">
        <v>325</v>
      </c>
      <c r="D23" s="11">
        <f>apkure!P46</f>
        <v>0</v>
      </c>
      <c r="E23" s="11">
        <f>apkure!M46</f>
        <v>0</v>
      </c>
      <c r="F23" s="11">
        <f>apkure!N46</f>
        <v>0</v>
      </c>
      <c r="G23" s="11">
        <f>apkure!O46</f>
        <v>0</v>
      </c>
      <c r="H23" s="11">
        <f>apkure!L46</f>
        <v>0</v>
      </c>
    </row>
    <row r="24" spans="1:8" ht="15" customHeight="1">
      <c r="A24" s="10">
        <v>10</v>
      </c>
      <c r="B24" s="311">
        <v>10</v>
      </c>
      <c r="C24" s="51" t="s">
        <v>326</v>
      </c>
      <c r="D24" s="11">
        <f>ventil!P69</f>
        <v>0</v>
      </c>
      <c r="E24" s="11">
        <f>ventil!M69</f>
        <v>0</v>
      </c>
      <c r="F24" s="11">
        <f>ventil!N69</f>
        <v>0</v>
      </c>
      <c r="G24" s="11">
        <f>ventil!O69</f>
        <v>0</v>
      </c>
      <c r="H24" s="11">
        <f>ventil!L69</f>
        <v>0</v>
      </c>
    </row>
    <row r="25" spans="1:8">
      <c r="A25" s="10">
        <v>11</v>
      </c>
      <c r="B25" s="311">
        <v>11</v>
      </c>
      <c r="C25" s="51" t="s">
        <v>229</v>
      </c>
      <c r="D25" s="11">
        <f>EL!P62</f>
        <v>0</v>
      </c>
      <c r="E25" s="11">
        <f>EL!M62</f>
        <v>0</v>
      </c>
      <c r="F25" s="11">
        <f>EL!N62</f>
        <v>0</v>
      </c>
      <c r="G25" s="11">
        <f>EL!O62</f>
        <v>0</v>
      </c>
      <c r="H25" s="11">
        <f>EL!L62</f>
        <v>0</v>
      </c>
    </row>
    <row r="26" spans="1:8" ht="15" customHeight="1">
      <c r="A26" s="10">
        <v>12</v>
      </c>
      <c r="B26" s="311">
        <v>12</v>
      </c>
      <c r="C26" s="51" t="s">
        <v>298</v>
      </c>
      <c r="D26" s="11">
        <f>zib!P28</f>
        <v>0</v>
      </c>
      <c r="E26" s="11">
        <f>zib!M28</f>
        <v>0</v>
      </c>
      <c r="F26" s="11">
        <f>zib!N28</f>
        <v>0</v>
      </c>
      <c r="G26" s="11">
        <f>zib!O28</f>
        <v>0</v>
      </c>
      <c r="H26" s="11">
        <f>zib!L28</f>
        <v>0</v>
      </c>
    </row>
    <row r="27" spans="1:8" ht="15" customHeight="1">
      <c r="A27" s="10">
        <v>13</v>
      </c>
      <c r="B27" s="311">
        <v>13</v>
      </c>
      <c r="C27" s="51" t="s">
        <v>230</v>
      </c>
      <c r="D27" s="11">
        <f>UATS!P36</f>
        <v>0</v>
      </c>
      <c r="E27" s="11">
        <f>UATS!M36</f>
        <v>0</v>
      </c>
      <c r="F27" s="11">
        <f>UATS!N36</f>
        <v>0</v>
      </c>
      <c r="G27" s="11">
        <f>UATS!O36</f>
        <v>0</v>
      </c>
      <c r="H27" s="11">
        <f>UATS!L36</f>
        <v>0</v>
      </c>
    </row>
    <row r="28" spans="1:8" ht="15" customHeight="1">
      <c r="A28" s="10">
        <v>14</v>
      </c>
      <c r="B28" s="311">
        <v>14</v>
      </c>
      <c r="C28" s="51" t="str">
        <f>UKT!A3</f>
        <v>UKT tīklu montāža</v>
      </c>
      <c r="D28" s="11">
        <f>UKT!P48</f>
        <v>0</v>
      </c>
      <c r="E28" s="11">
        <f>UKT!M48</f>
        <v>0</v>
      </c>
      <c r="F28" s="11">
        <f>UKT!N48</f>
        <v>0</v>
      </c>
      <c r="G28" s="11">
        <f>UKT!O48</f>
        <v>0</v>
      </c>
      <c r="H28" s="11">
        <f>UKT!L48</f>
        <v>0</v>
      </c>
    </row>
    <row r="29" spans="1:8" ht="15" customHeight="1">
      <c r="A29" s="10">
        <v>15</v>
      </c>
      <c r="B29" s="311">
        <v>15</v>
      </c>
      <c r="C29" s="51" t="str">
        <f>ELT!A3</f>
        <v>ELT tīklu montāža</v>
      </c>
      <c r="D29" s="11">
        <f>ELT!P31</f>
        <v>0</v>
      </c>
      <c r="E29" s="11">
        <f>ELT!M31</f>
        <v>0</v>
      </c>
      <c r="F29" s="11">
        <f>UKT!N49</f>
        <v>0</v>
      </c>
      <c r="G29" s="11">
        <f>ELT!O31</f>
        <v>0</v>
      </c>
      <c r="H29" s="11">
        <f>ELT!L31</f>
        <v>0</v>
      </c>
    </row>
    <row r="30" spans="1:8" ht="15" customHeight="1">
      <c r="A30" s="10">
        <v>16</v>
      </c>
      <c r="B30" s="311" t="s">
        <v>499</v>
      </c>
      <c r="C30" s="51" t="s">
        <v>526</v>
      </c>
      <c r="D30" s="11">
        <f>ELT!P32</f>
        <v>0</v>
      </c>
      <c r="E30" s="11">
        <f>ELT!M32</f>
        <v>0</v>
      </c>
      <c r="F30" s="11">
        <f>ELT!N31</f>
        <v>0</v>
      </c>
      <c r="G30" s="11">
        <f>ELT!O32</f>
        <v>0</v>
      </c>
      <c r="H30" s="11">
        <f>ELT!L32</f>
        <v>0</v>
      </c>
    </row>
    <row r="31" spans="1:8">
      <c r="A31" s="242"/>
      <c r="B31" s="242"/>
      <c r="C31" s="12" t="s">
        <v>35</v>
      </c>
      <c r="D31" s="11">
        <f>SUM(D15:D30)</f>
        <v>0</v>
      </c>
      <c r="E31" s="11">
        <f t="shared" ref="E31:H31" si="0">SUM(E15:E30)</f>
        <v>0</v>
      </c>
      <c r="F31" s="11">
        <f>SUM(F15:F30)</f>
        <v>0</v>
      </c>
      <c r="G31" s="11">
        <f t="shared" si="0"/>
        <v>0</v>
      </c>
      <c r="H31" s="11">
        <f t="shared" si="0"/>
        <v>0</v>
      </c>
    </row>
    <row r="32" spans="1:8">
      <c r="A32" s="169"/>
      <c r="B32" s="243" t="s">
        <v>45</v>
      </c>
      <c r="C32" s="244"/>
      <c r="D32" s="221">
        <f>ROUND(D31*C32,2)</f>
        <v>0</v>
      </c>
      <c r="E32" s="53"/>
      <c r="F32" s="7"/>
      <c r="G32" s="7"/>
      <c r="H32" s="7"/>
    </row>
    <row r="33" spans="1:8">
      <c r="A33" s="169"/>
      <c r="B33" s="243" t="s">
        <v>46</v>
      </c>
      <c r="C33" s="245"/>
      <c r="D33" s="221">
        <f>ROUND(D32*C33,2)</f>
        <v>0</v>
      </c>
      <c r="E33" s="54"/>
      <c r="F33" s="7"/>
      <c r="G33" s="7"/>
      <c r="H33" s="7"/>
    </row>
    <row r="34" spans="1:8">
      <c r="A34" s="169"/>
      <c r="B34" s="243" t="s">
        <v>47</v>
      </c>
      <c r="C34" s="244"/>
      <c r="D34" s="221">
        <f>ROUND(D31*C34,2)</f>
        <v>0</v>
      </c>
      <c r="E34" s="54"/>
      <c r="F34" s="7"/>
      <c r="G34" s="7"/>
      <c r="H34" s="7"/>
    </row>
    <row r="35" spans="1:8" s="16" customFormat="1">
      <c r="A35" s="169"/>
      <c r="B35" s="375" t="s">
        <v>48</v>
      </c>
      <c r="C35" s="376"/>
      <c r="D35" s="221">
        <f>D34+D32+D31</f>
        <v>0</v>
      </c>
      <c r="E35" s="55"/>
      <c r="F35" s="15"/>
      <c r="G35" s="15"/>
      <c r="H35" s="15"/>
    </row>
    <row r="36" spans="1:8" s="23" customFormat="1" ht="12.75">
      <c r="A36" s="13"/>
      <c r="B36" s="14"/>
      <c r="C36" s="13"/>
      <c r="D36" s="7"/>
      <c r="E36" s="7"/>
      <c r="F36" s="21"/>
      <c r="G36" s="22"/>
      <c r="H36" s="22"/>
    </row>
    <row r="37" spans="1:8" s="23" customFormat="1" ht="12.75">
      <c r="A37" s="385" t="s">
        <v>544</v>
      </c>
      <c r="B37" s="385"/>
      <c r="C37" s="385"/>
      <c r="D37" s="385"/>
      <c r="E37" s="385"/>
      <c r="F37" s="24"/>
      <c r="G37" s="24"/>
      <c r="H37" s="24"/>
    </row>
    <row r="38" spans="1:8" s="23" customFormat="1" ht="15" customHeight="1">
      <c r="A38" s="386" t="s">
        <v>36</v>
      </c>
      <c r="B38" s="387"/>
      <c r="C38" s="387"/>
      <c r="D38" s="387"/>
      <c r="E38" s="387"/>
      <c r="F38" s="52"/>
      <c r="G38" s="52"/>
      <c r="H38" s="52"/>
    </row>
    <row r="39" spans="1:8" s="23" customFormat="1" ht="12.75">
      <c r="A39" s="17"/>
      <c r="B39" s="5" t="s">
        <v>23</v>
      </c>
      <c r="C39" s="354"/>
      <c r="D39" s="354"/>
      <c r="E39" s="354"/>
      <c r="F39" s="21"/>
      <c r="G39" s="22"/>
      <c r="H39" s="22"/>
    </row>
    <row r="40" spans="1:8">
      <c r="A40" s="18"/>
      <c r="B40" s="18"/>
      <c r="C40" s="19"/>
      <c r="D40" s="20"/>
      <c r="E40" s="18"/>
    </row>
    <row r="41" spans="1:8">
      <c r="A41" s="18"/>
      <c r="B41" s="18"/>
      <c r="C41" s="19"/>
      <c r="D41" s="20"/>
      <c r="E41" s="18"/>
    </row>
  </sheetData>
  <mergeCells count="20">
    <mergeCell ref="A8:H8"/>
    <mergeCell ref="C39:E39"/>
    <mergeCell ref="A37:E37"/>
    <mergeCell ref="A38:E38"/>
    <mergeCell ref="F1:H1"/>
    <mergeCell ref="F2:H2"/>
    <mergeCell ref="F3:H3"/>
    <mergeCell ref="A4:H4"/>
    <mergeCell ref="B35:C35"/>
    <mergeCell ref="B12:B14"/>
    <mergeCell ref="C12:C14"/>
    <mergeCell ref="D12:D14"/>
    <mergeCell ref="A9:C9"/>
    <mergeCell ref="A10:C10"/>
    <mergeCell ref="E11:G11"/>
    <mergeCell ref="A12:A14"/>
    <mergeCell ref="E12:G13"/>
    <mergeCell ref="H12:H14"/>
    <mergeCell ref="A6:H6"/>
    <mergeCell ref="A7:H7"/>
  </mergeCells>
  <hyperlinks>
    <hyperlink ref="F1" r:id="rId1" tooltip="Atvērt citā formātā" display="https://likumi.lv/wwwraksti/2017/103/BILDES/N_239/P6.DOCX" xr:uid="{882D50DC-D4BF-4FA5-BA1F-2EDC537834BA}"/>
  </hyperlinks>
  <pageMargins left="0.70866141732283472" right="0.70866141732283472" top="0.74803149606299213" bottom="0.35433070866141736" header="0.31496062992125984" footer="0.31496062992125984"/>
  <pageSetup paperSize="9" fitToHeight="0" orientation="landscape" verticalDpi="0" r:id="rId2"/>
  <ignoredErrors>
    <ignoredError sqref="D19 D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6B0A-82A1-4935-8E39-4CB96E5A1251}">
  <dimension ref="A1:R29"/>
  <sheetViews>
    <sheetView topLeftCell="A6" zoomScale="130" zoomScaleNormal="130" workbookViewId="0">
      <selection activeCell="O7" sqref="O7:P7"/>
    </sheetView>
  </sheetViews>
  <sheetFormatPr defaultColWidth="9.140625" defaultRowHeight="14.25"/>
  <cols>
    <col min="1" max="1" width="6" style="1" customWidth="1"/>
    <col min="2" max="2" width="8.28515625" style="1" customWidth="1"/>
    <col min="3" max="3" width="43.28515625" style="1" customWidth="1"/>
    <col min="4" max="4" width="6.140625" style="1" customWidth="1"/>
    <col min="5" max="6" width="6.42578125" style="1" customWidth="1"/>
    <col min="7" max="7" width="7.7109375" style="1" customWidth="1"/>
    <col min="8" max="8" width="8" style="1" customWidth="1"/>
    <col min="9" max="9" width="8.85546875" style="1" customWidth="1"/>
    <col min="10" max="10" width="9.7109375" style="1" customWidth="1"/>
    <col min="11" max="11" width="13.5703125" style="1" bestFit="1" customWidth="1"/>
    <col min="12" max="15" width="9.140625" style="1"/>
    <col min="16" max="16" width="9.85546875" style="1" bestFit="1" customWidth="1"/>
    <col min="17" max="16384" width="9.140625" style="1"/>
  </cols>
  <sheetData>
    <row r="1" spans="1:17" ht="15">
      <c r="A1" s="2"/>
      <c r="L1" s="402" t="s">
        <v>542</v>
      </c>
      <c r="M1" s="403"/>
      <c r="N1" s="403"/>
      <c r="O1" s="403"/>
    </row>
    <row r="2" spans="1:17" ht="15">
      <c r="A2" s="404" t="s">
        <v>0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7" ht="15">
      <c r="A3" s="404" t="s">
        <v>461</v>
      </c>
      <c r="B3" s="398"/>
      <c r="C3" s="398"/>
      <c r="D3" s="2"/>
      <c r="E3" s="2"/>
      <c r="L3" s="405" t="s">
        <v>20</v>
      </c>
      <c r="M3" s="403"/>
      <c r="N3" s="403"/>
      <c r="O3" s="403"/>
    </row>
    <row r="4" spans="1:17" ht="15">
      <c r="C4" s="2"/>
    </row>
    <row r="5" spans="1:17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7" ht="14.2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7">
      <c r="A7" s="379" t="s">
        <v>62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7" ht="15" thickBot="1">
      <c r="A8" s="379" t="s">
        <v>533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7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  <c r="Q9" s="309"/>
    </row>
    <row r="10" spans="1:17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  <c r="Q10" s="309"/>
    </row>
    <row r="11" spans="1:17">
      <c r="A11" s="314">
        <v>1</v>
      </c>
      <c r="B11" s="313">
        <v>2</v>
      </c>
      <c r="C11" s="313">
        <v>3</v>
      </c>
      <c r="D11" s="313">
        <v>4</v>
      </c>
      <c r="E11" s="313">
        <v>5</v>
      </c>
      <c r="F11" s="315">
        <v>6</v>
      </c>
      <c r="G11" s="315">
        <v>7</v>
      </c>
      <c r="H11" s="315">
        <v>8</v>
      </c>
      <c r="I11" s="315">
        <v>9</v>
      </c>
      <c r="J11" s="315">
        <v>10</v>
      </c>
      <c r="K11" s="315">
        <v>11</v>
      </c>
      <c r="L11" s="315">
        <v>12</v>
      </c>
      <c r="M11" s="315">
        <v>13</v>
      </c>
      <c r="N11" s="315">
        <v>14</v>
      </c>
      <c r="O11" s="315">
        <v>15</v>
      </c>
      <c r="P11" s="316">
        <v>16</v>
      </c>
      <c r="Q11" s="309"/>
    </row>
    <row r="12" spans="1:17" ht="25.5">
      <c r="A12" s="10">
        <v>1</v>
      </c>
      <c r="B12" s="62" t="s">
        <v>8</v>
      </c>
      <c r="C12" s="83" t="s">
        <v>462</v>
      </c>
      <c r="D12" s="10" t="s">
        <v>63</v>
      </c>
      <c r="E12" s="71">
        <v>150</v>
      </c>
      <c r="F12" s="71"/>
      <c r="G12" s="70"/>
      <c r="H12" s="82"/>
      <c r="I12" s="82"/>
      <c r="J12" s="66"/>
      <c r="K12" s="82"/>
      <c r="L12" s="82"/>
      <c r="M12" s="82"/>
      <c r="N12" s="82"/>
      <c r="O12" s="82"/>
      <c r="P12" s="82"/>
    </row>
    <row r="13" spans="1:17">
      <c r="A13" s="10">
        <v>2</v>
      </c>
      <c r="B13" s="64" t="s">
        <v>8</v>
      </c>
      <c r="C13" s="84" t="s">
        <v>463</v>
      </c>
      <c r="D13" s="80" t="s">
        <v>464</v>
      </c>
      <c r="E13" s="85">
        <v>1</v>
      </c>
      <c r="F13" s="71"/>
      <c r="G13" s="70"/>
      <c r="H13" s="81"/>
      <c r="I13" s="70"/>
      <c r="J13" s="11"/>
      <c r="K13" s="82"/>
      <c r="L13" s="82"/>
      <c r="M13" s="82"/>
      <c r="N13" s="82"/>
      <c r="O13" s="82"/>
      <c r="P13" s="82"/>
    </row>
    <row r="14" spans="1:17" ht="25.5">
      <c r="A14" s="10">
        <v>3</v>
      </c>
      <c r="B14" s="64" t="s">
        <v>71</v>
      </c>
      <c r="C14" s="51" t="s">
        <v>465</v>
      </c>
      <c r="D14" s="10" t="s">
        <v>466</v>
      </c>
      <c r="E14" s="120">
        <v>1</v>
      </c>
      <c r="F14" s="71"/>
      <c r="G14" s="70"/>
      <c r="H14" s="81"/>
      <c r="I14" s="71"/>
      <c r="J14" s="66"/>
      <c r="K14" s="82"/>
      <c r="L14" s="82"/>
      <c r="M14" s="82"/>
      <c r="N14" s="82"/>
      <c r="O14" s="82"/>
      <c r="P14" s="82"/>
    </row>
    <row r="15" spans="1:17">
      <c r="A15" s="10">
        <v>4</v>
      </c>
      <c r="B15" s="64" t="s">
        <v>71</v>
      </c>
      <c r="C15" s="51" t="s">
        <v>467</v>
      </c>
      <c r="D15" s="99" t="s">
        <v>466</v>
      </c>
      <c r="E15" s="168">
        <v>1</v>
      </c>
      <c r="F15" s="71"/>
      <c r="G15" s="81"/>
      <c r="H15" s="11"/>
      <c r="I15" s="66"/>
      <c r="J15" s="66"/>
      <c r="K15" s="82"/>
      <c r="L15" s="82"/>
      <c r="M15" s="82"/>
      <c r="N15" s="82"/>
      <c r="O15" s="82"/>
      <c r="P15" s="82"/>
    </row>
    <row r="16" spans="1:17" ht="25.5">
      <c r="A16" s="10">
        <v>5</v>
      </c>
      <c r="B16" s="62" t="s">
        <v>8</v>
      </c>
      <c r="C16" s="83" t="s">
        <v>468</v>
      </c>
      <c r="D16" s="10" t="s">
        <v>464</v>
      </c>
      <c r="E16" s="71">
        <v>1</v>
      </c>
      <c r="F16" s="71"/>
      <c r="G16" s="70"/>
      <c r="H16" s="82"/>
      <c r="I16" s="82"/>
      <c r="J16" s="66"/>
      <c r="K16" s="82"/>
      <c r="L16" s="82"/>
      <c r="M16" s="82"/>
      <c r="N16" s="82"/>
      <c r="O16" s="82"/>
      <c r="P16" s="82"/>
    </row>
    <row r="17" spans="1:18" ht="24.95" customHeight="1">
      <c r="A17" s="10">
        <v>6</v>
      </c>
      <c r="B17" s="64" t="s">
        <v>8</v>
      </c>
      <c r="C17" s="84" t="s">
        <v>469</v>
      </c>
      <c r="D17" s="80" t="s">
        <v>466</v>
      </c>
      <c r="E17" s="85">
        <v>1</v>
      </c>
      <c r="F17" s="71"/>
      <c r="G17" s="70"/>
      <c r="H17" s="81"/>
      <c r="I17" s="70"/>
      <c r="J17" s="11"/>
      <c r="K17" s="82"/>
      <c r="L17" s="82"/>
      <c r="M17" s="82"/>
      <c r="N17" s="82"/>
      <c r="O17" s="82"/>
      <c r="P17" s="82"/>
    </row>
    <row r="18" spans="1:18">
      <c r="A18" s="10">
        <v>7</v>
      </c>
      <c r="B18" s="64" t="s">
        <v>138</v>
      </c>
      <c r="C18" s="51" t="s">
        <v>470</v>
      </c>
      <c r="D18" s="99" t="s">
        <v>464</v>
      </c>
      <c r="E18" s="168">
        <v>1</v>
      </c>
      <c r="F18" s="71"/>
      <c r="G18" s="81"/>
      <c r="H18" s="11"/>
      <c r="I18" s="66"/>
      <c r="J18" s="66"/>
      <c r="K18" s="82"/>
      <c r="L18" s="82"/>
      <c r="M18" s="82"/>
      <c r="N18" s="82"/>
      <c r="O18" s="82"/>
      <c r="P18" s="82"/>
    </row>
    <row r="19" spans="1:18">
      <c r="A19" s="10">
        <v>8</v>
      </c>
      <c r="B19" s="64" t="s">
        <v>71</v>
      </c>
      <c r="C19" s="51" t="s">
        <v>471</v>
      </c>
      <c r="D19" s="10" t="s">
        <v>464</v>
      </c>
      <c r="E19" s="120">
        <v>1</v>
      </c>
      <c r="F19" s="71"/>
      <c r="G19" s="70"/>
      <c r="H19" s="81"/>
      <c r="I19" s="71"/>
      <c r="J19" s="66"/>
      <c r="K19" s="82"/>
      <c r="L19" s="82"/>
      <c r="M19" s="82"/>
      <c r="N19" s="82"/>
      <c r="O19" s="82"/>
      <c r="P19" s="82"/>
    </row>
    <row r="20" spans="1:18">
      <c r="A20" s="10">
        <v>9</v>
      </c>
      <c r="B20" s="64" t="s">
        <v>71</v>
      </c>
      <c r="C20" s="51" t="s">
        <v>472</v>
      </c>
      <c r="D20" s="99" t="s">
        <v>466</v>
      </c>
      <c r="E20" s="168">
        <v>1</v>
      </c>
      <c r="F20" s="71"/>
      <c r="G20" s="81"/>
      <c r="H20" s="11"/>
      <c r="I20" s="66"/>
      <c r="J20" s="66"/>
      <c r="K20" s="82"/>
      <c r="L20" s="82"/>
      <c r="M20" s="82"/>
      <c r="N20" s="82"/>
      <c r="O20" s="82"/>
      <c r="P20" s="82"/>
    </row>
    <row r="21" spans="1:18" ht="15" thickBot="1">
      <c r="A21" s="126"/>
      <c r="B21" s="127"/>
      <c r="C21" s="390" t="s">
        <v>97</v>
      </c>
      <c r="D21" s="390"/>
      <c r="E21" s="390"/>
      <c r="F21" s="390"/>
      <c r="G21" s="390"/>
      <c r="H21" s="390"/>
      <c r="I21" s="390"/>
      <c r="J21" s="390"/>
      <c r="K21" s="390"/>
      <c r="L21" s="153">
        <f>SUM(L12:L20)</f>
        <v>0</v>
      </c>
      <c r="M21" s="153">
        <f>SUM(M12:M20)</f>
        <v>0</v>
      </c>
      <c r="N21" s="153">
        <f>SUM(N12:N20)</f>
        <v>0</v>
      </c>
      <c r="O21" s="153">
        <f>SUM(O12:O20)</f>
        <v>0</v>
      </c>
      <c r="P21" s="154">
        <f>SUM(P12:P20)</f>
        <v>0</v>
      </c>
      <c r="Q21" s="309"/>
    </row>
    <row r="22" spans="1:18" ht="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59"/>
      <c r="R22" s="57"/>
    </row>
    <row r="23" spans="1:18">
      <c r="A23" s="6"/>
      <c r="B23" s="6"/>
      <c r="C23" s="5" t="s">
        <v>21</v>
      </c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4"/>
    </row>
    <row r="24" spans="1:18">
      <c r="A24" s="5"/>
      <c r="B24" s="5"/>
      <c r="C24" s="3"/>
      <c r="D24" s="392" t="s">
        <v>22</v>
      </c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4"/>
    </row>
    <row r="25" spans="1:18" ht="15">
      <c r="A25" s="3"/>
      <c r="B25" s="3"/>
      <c r="C25" s="5" t="s">
        <v>23</v>
      </c>
      <c r="D25" s="354"/>
      <c r="E25" s="354"/>
      <c r="F25" s="393"/>
      <c r="G25" s="3"/>
      <c r="H25" s="3"/>
      <c r="I25" s="3"/>
      <c r="J25" s="3"/>
      <c r="K25" s="3"/>
      <c r="L25" s="3"/>
      <c r="M25" s="3"/>
      <c r="N25" s="3"/>
      <c r="O25" s="3"/>
      <c r="P25" s="4"/>
    </row>
    <row r="26" spans="1:18">
      <c r="A26" s="3"/>
      <c r="B26" s="3"/>
      <c r="C26" s="5"/>
      <c r="D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"/>
    </row>
    <row r="27" spans="1:1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</sheetData>
  <mergeCells count="22">
    <mergeCell ref="L1:O1"/>
    <mergeCell ref="A2:C2"/>
    <mergeCell ref="L2:O2"/>
    <mergeCell ref="A3:C3"/>
    <mergeCell ref="L3:O3"/>
    <mergeCell ref="A6:D6"/>
    <mergeCell ref="A7:H7"/>
    <mergeCell ref="L7:N7"/>
    <mergeCell ref="O7:P7"/>
    <mergeCell ref="A5:K5"/>
    <mergeCell ref="A8:J8"/>
    <mergeCell ref="A9:A10"/>
    <mergeCell ref="B9:B10"/>
    <mergeCell ref="C9:C10"/>
    <mergeCell ref="D9:D10"/>
    <mergeCell ref="E9:E10"/>
    <mergeCell ref="F9:K9"/>
    <mergeCell ref="L9:P9"/>
    <mergeCell ref="C21:K21"/>
    <mergeCell ref="D23:O23"/>
    <mergeCell ref="D24:O24"/>
    <mergeCell ref="D25:F25"/>
  </mergeCells>
  <conditionalFormatting sqref="D12:D21">
    <cfRule type="cellIs" dxfId="147" priority="1" stopIfTrue="1" operator="equal">
      <formula>0</formula>
    </cfRule>
    <cfRule type="expression" dxfId="146" priority="2" stopIfTrue="1">
      <formula>#N/A</formula>
    </cfRule>
  </conditionalFormatting>
  <hyperlinks>
    <hyperlink ref="L1" r:id="rId1" tooltip="Atvērt citā formātā" display="https://likumi.lv/wwwraksti/2017/103/BILDES/N_239/P5.DOCX" xr:uid="{90291895-5171-439E-B065-3B11B595811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73C0-54E1-4F78-B9AA-F084042E4F01}">
  <dimension ref="A1:IV38"/>
  <sheetViews>
    <sheetView zoomScale="130" zoomScaleNormal="130" workbookViewId="0">
      <selection activeCell="C4" sqref="C4"/>
    </sheetView>
  </sheetViews>
  <sheetFormatPr defaultColWidth="9.140625" defaultRowHeight="14.25"/>
  <cols>
    <col min="1" max="1" width="6" style="1" customWidth="1"/>
    <col min="2" max="2" width="8.28515625" style="1" customWidth="1"/>
    <col min="3" max="3" width="43.28515625" style="1" customWidth="1"/>
    <col min="4" max="4" width="6.140625" style="1" customWidth="1"/>
    <col min="5" max="6" width="6.42578125" style="1" customWidth="1"/>
    <col min="7" max="7" width="7.7109375" style="1" customWidth="1"/>
    <col min="8" max="8" width="8" style="1" customWidth="1"/>
    <col min="9" max="9" width="8.85546875" style="1" customWidth="1"/>
    <col min="10" max="10" width="9.7109375" style="1" customWidth="1"/>
    <col min="11" max="15" width="9.140625" style="1"/>
    <col min="16" max="16" width="9.85546875" style="1" bestFit="1" customWidth="1"/>
    <col min="17" max="16384" width="9.140625" style="1"/>
  </cols>
  <sheetData>
    <row r="1" spans="1:17" ht="15">
      <c r="A1" s="2"/>
      <c r="L1" s="402" t="s">
        <v>542</v>
      </c>
      <c r="M1" s="403"/>
      <c r="N1" s="403"/>
      <c r="O1" s="403"/>
    </row>
    <row r="2" spans="1:17" ht="15">
      <c r="A2" s="404" t="s">
        <v>10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7" ht="15">
      <c r="A3" s="404" t="s">
        <v>68</v>
      </c>
      <c r="B3" s="398"/>
      <c r="C3" s="398"/>
      <c r="D3" s="2"/>
      <c r="E3" s="2"/>
      <c r="L3" s="405" t="s">
        <v>20</v>
      </c>
      <c r="M3" s="403"/>
      <c r="N3" s="403"/>
      <c r="O3" s="403"/>
    </row>
    <row r="4" spans="1:17" ht="15">
      <c r="C4" s="2"/>
    </row>
    <row r="5" spans="1:17" ht="15" customHeight="1">
      <c r="A5" s="399" t="s">
        <v>534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7" ht="14.2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7">
      <c r="A7" s="379" t="s">
        <v>535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7" ht="15" thickBot="1">
      <c r="A8" s="379" t="s">
        <v>533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7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  <c r="Q9" s="309"/>
    </row>
    <row r="10" spans="1:17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  <c r="Q10" s="309"/>
    </row>
    <row r="11" spans="1:17" ht="1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28">
        <v>6</v>
      </c>
      <c r="G11" s="128">
        <v>7</v>
      </c>
      <c r="H11" s="128">
        <v>8</v>
      </c>
      <c r="I11" s="128">
        <v>9</v>
      </c>
      <c r="J11" s="128">
        <v>10</v>
      </c>
      <c r="K11" s="128">
        <v>11</v>
      </c>
      <c r="L11" s="128">
        <v>12</v>
      </c>
      <c r="M11" s="128">
        <v>13</v>
      </c>
      <c r="N11" s="128">
        <v>14</v>
      </c>
      <c r="O11" s="128">
        <v>15</v>
      </c>
      <c r="P11" s="129">
        <v>16</v>
      </c>
      <c r="Q11" s="309"/>
    </row>
    <row r="12" spans="1:17">
      <c r="A12" s="138">
        <v>1</v>
      </c>
      <c r="B12" s="139" t="s">
        <v>8</v>
      </c>
      <c r="C12" s="140" t="s">
        <v>69</v>
      </c>
      <c r="D12" s="141" t="s">
        <v>9</v>
      </c>
      <c r="E12" s="142">
        <f>(3.6+17.06)*2.55</f>
        <v>52.68</v>
      </c>
      <c r="F12" s="142"/>
      <c r="G12" s="143"/>
      <c r="H12" s="144"/>
      <c r="I12" s="144"/>
      <c r="J12" s="145"/>
      <c r="K12" s="144"/>
      <c r="L12" s="144"/>
      <c r="M12" s="144"/>
      <c r="N12" s="144"/>
      <c r="O12" s="144"/>
      <c r="P12" s="146"/>
      <c r="Q12" s="309"/>
    </row>
    <row r="13" spans="1:17" ht="15.75">
      <c r="A13" s="147">
        <v>2</v>
      </c>
      <c r="B13" s="64" t="s">
        <v>8</v>
      </c>
      <c r="C13" s="84" t="s">
        <v>70</v>
      </c>
      <c r="D13" s="80" t="s">
        <v>66</v>
      </c>
      <c r="E13" s="85">
        <f>E12*0.25</f>
        <v>13.17</v>
      </c>
      <c r="F13" s="71"/>
      <c r="G13" s="70"/>
      <c r="H13" s="81"/>
      <c r="I13" s="70"/>
      <c r="J13" s="11"/>
      <c r="K13" s="82"/>
      <c r="L13" s="82"/>
      <c r="M13" s="82"/>
      <c r="N13" s="82"/>
      <c r="O13" s="82"/>
      <c r="P13" s="148"/>
      <c r="Q13" s="309"/>
    </row>
    <row r="14" spans="1:17" ht="25.5">
      <c r="A14" s="147">
        <v>3</v>
      </c>
      <c r="B14" s="64" t="s">
        <v>71</v>
      </c>
      <c r="C14" s="51" t="s">
        <v>85</v>
      </c>
      <c r="D14" s="10" t="s">
        <v>9</v>
      </c>
      <c r="E14" s="120">
        <f>8.6*2.5</f>
        <v>21.5</v>
      </c>
      <c r="F14" s="71"/>
      <c r="G14" s="70"/>
      <c r="H14" s="81"/>
      <c r="I14" s="71"/>
      <c r="J14" s="66"/>
      <c r="K14" s="82"/>
      <c r="L14" s="82"/>
      <c r="M14" s="82"/>
      <c r="N14" s="82"/>
      <c r="O14" s="82"/>
      <c r="P14" s="148"/>
      <c r="Q14" s="309"/>
    </row>
    <row r="15" spans="1:17" ht="25.5">
      <c r="A15" s="147">
        <v>4</v>
      </c>
      <c r="B15" s="64" t="s">
        <v>71</v>
      </c>
      <c r="C15" s="51" t="s">
        <v>72</v>
      </c>
      <c r="D15" s="99" t="s">
        <v>73</v>
      </c>
      <c r="E15" s="168">
        <v>2</v>
      </c>
      <c r="F15" s="71"/>
      <c r="G15" s="81"/>
      <c r="H15" s="11"/>
      <c r="I15" s="66"/>
      <c r="J15" s="66"/>
      <c r="K15" s="82"/>
      <c r="L15" s="82"/>
      <c r="M15" s="82"/>
      <c r="N15" s="82"/>
      <c r="O15" s="82"/>
      <c r="P15" s="148"/>
      <c r="Q15" s="309"/>
    </row>
    <row r="16" spans="1:17">
      <c r="A16" s="147">
        <v>5</v>
      </c>
      <c r="B16" s="62" t="s">
        <v>8</v>
      </c>
      <c r="C16" s="83" t="s">
        <v>137</v>
      </c>
      <c r="D16" s="10" t="s">
        <v>63</v>
      </c>
      <c r="E16" s="71">
        <v>10.4</v>
      </c>
      <c r="F16" s="71"/>
      <c r="G16" s="70"/>
      <c r="H16" s="82"/>
      <c r="I16" s="82"/>
      <c r="J16" s="66"/>
      <c r="K16" s="82"/>
      <c r="L16" s="82"/>
      <c r="M16" s="82"/>
      <c r="N16" s="82"/>
      <c r="O16" s="82"/>
      <c r="P16" s="148"/>
      <c r="Q16" s="309"/>
    </row>
    <row r="17" spans="1:256" ht="15.75">
      <c r="A17" s="147">
        <v>6</v>
      </c>
      <c r="B17" s="64" t="s">
        <v>8</v>
      </c>
      <c r="C17" s="84" t="s">
        <v>70</v>
      </c>
      <c r="D17" s="80" t="s">
        <v>66</v>
      </c>
      <c r="E17" s="85">
        <f>E16*0.5</f>
        <v>5.2</v>
      </c>
      <c r="F17" s="71"/>
      <c r="G17" s="70"/>
      <c r="H17" s="81"/>
      <c r="I17" s="70"/>
      <c r="J17" s="11"/>
      <c r="K17" s="82"/>
      <c r="L17" s="82"/>
      <c r="M17" s="82"/>
      <c r="N17" s="82"/>
      <c r="O17" s="82"/>
      <c r="P17" s="148"/>
      <c r="Q17" s="309"/>
    </row>
    <row r="18" spans="1:256">
      <c r="A18" s="147">
        <v>7</v>
      </c>
      <c r="B18" s="64" t="s">
        <v>138</v>
      </c>
      <c r="C18" s="51" t="s">
        <v>139</v>
      </c>
      <c r="D18" s="99" t="s">
        <v>73</v>
      </c>
      <c r="E18" s="168">
        <v>2</v>
      </c>
      <c r="F18" s="71"/>
      <c r="G18" s="81"/>
      <c r="H18" s="11"/>
      <c r="I18" s="66"/>
      <c r="J18" s="66"/>
      <c r="K18" s="82"/>
      <c r="L18" s="82"/>
      <c r="M18" s="82"/>
      <c r="N18" s="82"/>
      <c r="O18" s="82"/>
      <c r="P18" s="148"/>
      <c r="Q18" s="309"/>
    </row>
    <row r="19" spans="1:256" ht="25.5">
      <c r="A19" s="147">
        <v>8</v>
      </c>
      <c r="B19" s="64" t="s">
        <v>71</v>
      </c>
      <c r="C19" s="51" t="s">
        <v>85</v>
      </c>
      <c r="D19" s="10" t="s">
        <v>9</v>
      </c>
      <c r="E19" s="120">
        <f>8.6*2.5</f>
        <v>21.5</v>
      </c>
      <c r="F19" s="71"/>
      <c r="G19" s="70"/>
      <c r="H19" s="81"/>
      <c r="I19" s="71"/>
      <c r="J19" s="66"/>
      <c r="K19" s="82"/>
      <c r="L19" s="82"/>
      <c r="M19" s="82"/>
      <c r="N19" s="82"/>
      <c r="O19" s="82"/>
      <c r="P19" s="148"/>
      <c r="Q19" s="309"/>
    </row>
    <row r="20" spans="1:256" ht="25.5">
      <c r="A20" s="147">
        <v>9</v>
      </c>
      <c r="B20" s="64" t="s">
        <v>71</v>
      </c>
      <c r="C20" s="51" t="s">
        <v>72</v>
      </c>
      <c r="D20" s="99" t="s">
        <v>73</v>
      </c>
      <c r="E20" s="168">
        <v>2</v>
      </c>
      <c r="F20" s="71"/>
      <c r="G20" s="81"/>
      <c r="H20" s="11"/>
      <c r="I20" s="66"/>
      <c r="J20" s="66"/>
      <c r="K20" s="82"/>
      <c r="L20" s="82"/>
      <c r="M20" s="82"/>
      <c r="N20" s="82"/>
      <c r="O20" s="82"/>
      <c r="P20" s="148"/>
      <c r="Q20" s="309"/>
    </row>
    <row r="21" spans="1:256">
      <c r="A21" s="147">
        <v>10</v>
      </c>
      <c r="B21" s="64" t="s">
        <v>71</v>
      </c>
      <c r="C21" s="51" t="s">
        <v>140</v>
      </c>
      <c r="D21" s="99" t="s">
        <v>73</v>
      </c>
      <c r="E21" s="168">
        <v>1</v>
      </c>
      <c r="F21" s="122"/>
      <c r="G21" s="81"/>
      <c r="H21" s="11"/>
      <c r="I21" s="122"/>
      <c r="J21" s="66"/>
      <c r="K21" s="82"/>
      <c r="L21" s="82"/>
      <c r="M21" s="82"/>
      <c r="N21" s="82"/>
      <c r="O21" s="82"/>
      <c r="P21" s="148"/>
      <c r="Q21" s="309"/>
    </row>
    <row r="22" spans="1:256" ht="12.75" customHeight="1">
      <c r="A22" s="117">
        <v>11</v>
      </c>
      <c r="B22" s="62" t="s">
        <v>105</v>
      </c>
      <c r="C22" s="110" t="s">
        <v>132</v>
      </c>
      <c r="D22" s="10" t="s">
        <v>9</v>
      </c>
      <c r="E22" s="111">
        <v>92.1</v>
      </c>
      <c r="F22" s="71"/>
      <c r="G22" s="82"/>
      <c r="H22" s="11"/>
      <c r="I22" s="70"/>
      <c r="J22" s="70"/>
      <c r="K22" s="70"/>
      <c r="L22" s="70"/>
      <c r="M22" s="70"/>
      <c r="N22" s="70"/>
      <c r="O22" s="70"/>
      <c r="P22" s="119"/>
      <c r="Q22" s="310"/>
      <c r="R22" s="130"/>
      <c r="S22" s="131"/>
      <c r="T22" s="114"/>
      <c r="U22" s="132"/>
      <c r="V22" s="133"/>
      <c r="W22" s="134"/>
      <c r="X22" s="135"/>
      <c r="Y22" s="135"/>
      <c r="Z22" s="135"/>
      <c r="AA22" s="135"/>
      <c r="AB22" s="135"/>
      <c r="AC22" s="135"/>
      <c r="AD22" s="135"/>
      <c r="AE22" s="135"/>
      <c r="AF22" s="135"/>
      <c r="AG22" s="136"/>
      <c r="AH22" s="130"/>
      <c r="AI22" s="131"/>
      <c r="AJ22" s="114"/>
      <c r="AK22" s="132"/>
      <c r="AL22" s="133"/>
      <c r="AM22" s="134"/>
      <c r="AN22" s="135"/>
      <c r="AO22" s="135"/>
      <c r="AP22" s="135"/>
      <c r="AQ22" s="135"/>
      <c r="AR22" s="135"/>
      <c r="AS22" s="135"/>
      <c r="AT22" s="135"/>
      <c r="AU22" s="135"/>
      <c r="AV22" s="135"/>
      <c r="AW22" s="136"/>
      <c r="AX22" s="130"/>
      <c r="AY22" s="131"/>
      <c r="AZ22" s="114"/>
      <c r="BA22" s="132"/>
      <c r="BB22" s="133"/>
      <c r="BC22" s="134"/>
      <c r="BD22" s="135"/>
      <c r="BE22" s="135"/>
      <c r="BF22" s="135"/>
      <c r="BG22" s="135"/>
      <c r="BH22" s="135"/>
      <c r="BI22" s="135"/>
      <c r="BJ22" s="135"/>
      <c r="BK22" s="135"/>
      <c r="BL22" s="135"/>
      <c r="BM22" s="136"/>
      <c r="BN22" s="130"/>
      <c r="BO22" s="131"/>
      <c r="BP22" s="114"/>
      <c r="BQ22" s="132"/>
      <c r="BR22" s="133"/>
      <c r="BS22" s="134"/>
      <c r="BT22" s="135"/>
      <c r="BU22" s="135"/>
      <c r="BV22" s="135"/>
      <c r="BW22" s="135"/>
      <c r="BX22" s="135"/>
      <c r="BY22" s="135"/>
      <c r="BZ22" s="135"/>
      <c r="CA22" s="135"/>
      <c r="CB22" s="135"/>
      <c r="CC22" s="136"/>
      <c r="CD22" s="130"/>
      <c r="CE22" s="131"/>
      <c r="CF22" s="114"/>
      <c r="CG22" s="132"/>
      <c r="CH22" s="133"/>
      <c r="CI22" s="134"/>
      <c r="CJ22" s="135"/>
      <c r="CK22" s="135"/>
      <c r="CL22" s="135"/>
      <c r="CM22" s="135"/>
      <c r="CN22" s="135"/>
      <c r="CO22" s="135"/>
      <c r="CP22" s="135"/>
      <c r="CQ22" s="135"/>
      <c r="CR22" s="135"/>
      <c r="CS22" s="136"/>
      <c r="CT22" s="130"/>
      <c r="CU22" s="131"/>
      <c r="CV22" s="114"/>
      <c r="CW22" s="132"/>
      <c r="CX22" s="133"/>
      <c r="CY22" s="134"/>
      <c r="CZ22" s="135"/>
      <c r="DA22" s="135"/>
      <c r="DB22" s="135"/>
      <c r="DC22" s="135"/>
      <c r="DD22" s="135"/>
      <c r="DE22" s="135"/>
      <c r="DF22" s="135"/>
      <c r="DG22" s="135"/>
      <c r="DH22" s="135"/>
      <c r="DI22" s="136"/>
      <c r="DJ22" s="130"/>
      <c r="DK22" s="131"/>
      <c r="DL22" s="114"/>
      <c r="DM22" s="132"/>
      <c r="DN22" s="133"/>
      <c r="DO22" s="134"/>
      <c r="DP22" s="135"/>
      <c r="DQ22" s="135"/>
      <c r="DR22" s="135"/>
      <c r="DS22" s="135"/>
      <c r="DT22" s="135"/>
      <c r="DU22" s="135"/>
      <c r="DV22" s="135"/>
      <c r="DW22" s="135"/>
      <c r="DX22" s="135"/>
      <c r="DY22" s="136"/>
      <c r="DZ22" s="130"/>
      <c r="EA22" s="131"/>
      <c r="EB22" s="114"/>
      <c r="EC22" s="132"/>
      <c r="ED22" s="133"/>
      <c r="EE22" s="134"/>
      <c r="EF22" s="135"/>
      <c r="EG22" s="135"/>
      <c r="EH22" s="135"/>
      <c r="EI22" s="135"/>
      <c r="EJ22" s="135"/>
      <c r="EK22" s="135"/>
      <c r="EL22" s="135"/>
      <c r="EM22" s="135"/>
      <c r="EN22" s="135"/>
      <c r="EO22" s="136"/>
      <c r="EP22" s="130"/>
      <c r="EQ22" s="131"/>
      <c r="ER22" s="114"/>
      <c r="ES22" s="132"/>
      <c r="ET22" s="133"/>
      <c r="EU22" s="134"/>
      <c r="EV22" s="135"/>
      <c r="EW22" s="135"/>
      <c r="EX22" s="135"/>
      <c r="EY22" s="135"/>
      <c r="EZ22" s="135"/>
      <c r="FA22" s="135"/>
      <c r="FB22" s="135"/>
      <c r="FC22" s="135"/>
      <c r="FD22" s="135"/>
      <c r="FE22" s="136"/>
      <c r="FF22" s="130"/>
      <c r="FG22" s="131"/>
      <c r="FH22" s="114"/>
      <c r="FI22" s="132"/>
      <c r="FJ22" s="133"/>
      <c r="FK22" s="134"/>
      <c r="FL22" s="135"/>
      <c r="FM22" s="135"/>
      <c r="FN22" s="135"/>
      <c r="FO22" s="135"/>
      <c r="FP22" s="135"/>
      <c r="FQ22" s="135"/>
      <c r="FR22" s="135"/>
      <c r="FS22" s="135"/>
      <c r="FT22" s="135"/>
      <c r="FU22" s="136"/>
      <c r="FV22" s="130"/>
      <c r="FW22" s="131"/>
      <c r="FX22" s="114"/>
      <c r="FY22" s="132"/>
      <c r="FZ22" s="133"/>
      <c r="GA22" s="134"/>
      <c r="GB22" s="135"/>
      <c r="GC22" s="135"/>
      <c r="GD22" s="135"/>
      <c r="GE22" s="135"/>
      <c r="GF22" s="135"/>
      <c r="GG22" s="135"/>
      <c r="GH22" s="135"/>
      <c r="GI22" s="135"/>
      <c r="GJ22" s="135"/>
      <c r="GK22" s="136"/>
      <c r="GL22" s="130"/>
      <c r="GM22" s="131"/>
      <c r="GN22" s="114"/>
      <c r="GO22" s="132"/>
      <c r="GP22" s="133"/>
      <c r="GQ22" s="134"/>
      <c r="GR22" s="135"/>
      <c r="GS22" s="135"/>
      <c r="GT22" s="135"/>
      <c r="GU22" s="135"/>
      <c r="GV22" s="135"/>
      <c r="GW22" s="135"/>
      <c r="GX22" s="135"/>
      <c r="GY22" s="135"/>
      <c r="GZ22" s="135"/>
      <c r="HA22" s="136"/>
      <c r="HB22" s="130"/>
      <c r="HC22" s="131"/>
      <c r="HD22" s="114"/>
      <c r="HE22" s="132"/>
      <c r="HF22" s="133"/>
      <c r="HG22" s="134"/>
      <c r="HH22" s="135"/>
      <c r="HI22" s="135"/>
      <c r="HJ22" s="135"/>
      <c r="HK22" s="135"/>
      <c r="HL22" s="135"/>
      <c r="HM22" s="135"/>
      <c r="HN22" s="135"/>
      <c r="HO22" s="135"/>
      <c r="HP22" s="135"/>
      <c r="HQ22" s="136"/>
      <c r="HR22" s="130"/>
      <c r="HS22" s="131"/>
      <c r="HT22" s="114"/>
      <c r="HU22" s="132"/>
      <c r="HV22" s="133"/>
      <c r="HW22" s="134"/>
      <c r="HX22" s="135"/>
      <c r="HY22" s="135"/>
      <c r="HZ22" s="135"/>
      <c r="IA22" s="135"/>
      <c r="IB22" s="135"/>
      <c r="IC22" s="135"/>
      <c r="ID22" s="135"/>
      <c r="IE22" s="135"/>
      <c r="IF22" s="135"/>
      <c r="IG22" s="136"/>
      <c r="IH22" s="130"/>
      <c r="II22" s="131"/>
      <c r="IJ22" s="114"/>
      <c r="IK22" s="132"/>
      <c r="IL22" s="133"/>
      <c r="IM22" s="134"/>
      <c r="IN22" s="135"/>
      <c r="IO22" s="135"/>
      <c r="IP22" s="135"/>
      <c r="IQ22" s="135"/>
      <c r="IR22" s="135"/>
      <c r="IS22" s="135"/>
      <c r="IT22" s="135"/>
      <c r="IU22" s="135"/>
      <c r="IV22" s="135"/>
    </row>
    <row r="23" spans="1:256" ht="12.75" customHeight="1">
      <c r="A23" s="117">
        <v>12</v>
      </c>
      <c r="B23" s="62" t="s">
        <v>105</v>
      </c>
      <c r="C23" s="118" t="s">
        <v>133</v>
      </c>
      <c r="D23" s="10" t="s">
        <v>9</v>
      </c>
      <c r="E23" s="111">
        <f>E22</f>
        <v>92.1</v>
      </c>
      <c r="F23" s="71"/>
      <c r="G23" s="82"/>
      <c r="H23" s="71"/>
      <c r="I23" s="70"/>
      <c r="J23" s="71"/>
      <c r="K23" s="70"/>
      <c r="L23" s="70"/>
      <c r="M23" s="70"/>
      <c r="N23" s="70"/>
      <c r="O23" s="70"/>
      <c r="P23" s="119"/>
      <c r="Q23" s="310"/>
      <c r="R23" s="130"/>
      <c r="S23" s="137"/>
      <c r="T23" s="114"/>
      <c r="U23" s="132"/>
      <c r="V23" s="133"/>
      <c r="W23" s="134"/>
      <c r="X23" s="133"/>
      <c r="Y23" s="135"/>
      <c r="Z23" s="133"/>
      <c r="AA23" s="135"/>
      <c r="AB23" s="135"/>
      <c r="AC23" s="135"/>
      <c r="AD23" s="135"/>
      <c r="AE23" s="135"/>
      <c r="AF23" s="135"/>
      <c r="AG23" s="136"/>
      <c r="AH23" s="130"/>
      <c r="AI23" s="137"/>
      <c r="AJ23" s="114"/>
      <c r="AK23" s="132"/>
      <c r="AL23" s="133"/>
      <c r="AM23" s="134"/>
      <c r="AN23" s="133"/>
      <c r="AO23" s="135"/>
      <c r="AP23" s="133"/>
      <c r="AQ23" s="135"/>
      <c r="AR23" s="135"/>
      <c r="AS23" s="135"/>
      <c r="AT23" s="135"/>
      <c r="AU23" s="135"/>
      <c r="AV23" s="135"/>
      <c r="AW23" s="136"/>
      <c r="AX23" s="130"/>
      <c r="AY23" s="137"/>
      <c r="AZ23" s="114"/>
      <c r="BA23" s="132"/>
      <c r="BB23" s="133"/>
      <c r="BC23" s="134"/>
      <c r="BD23" s="133"/>
      <c r="BE23" s="135"/>
      <c r="BF23" s="133"/>
      <c r="BG23" s="135"/>
      <c r="BH23" s="135"/>
      <c r="BI23" s="135"/>
      <c r="BJ23" s="135"/>
      <c r="BK23" s="135"/>
      <c r="BL23" s="135"/>
      <c r="BM23" s="136"/>
      <c r="BN23" s="130"/>
      <c r="BO23" s="137"/>
      <c r="BP23" s="114"/>
      <c r="BQ23" s="132"/>
      <c r="BR23" s="133"/>
      <c r="BS23" s="134"/>
      <c r="BT23" s="133"/>
      <c r="BU23" s="135"/>
      <c r="BV23" s="133"/>
      <c r="BW23" s="135"/>
      <c r="BX23" s="135"/>
      <c r="BY23" s="135"/>
      <c r="BZ23" s="135"/>
      <c r="CA23" s="135"/>
      <c r="CB23" s="135"/>
      <c r="CC23" s="136"/>
      <c r="CD23" s="130"/>
      <c r="CE23" s="137"/>
      <c r="CF23" s="114"/>
      <c r="CG23" s="132"/>
      <c r="CH23" s="133"/>
      <c r="CI23" s="134"/>
      <c r="CJ23" s="133"/>
      <c r="CK23" s="135"/>
      <c r="CL23" s="133"/>
      <c r="CM23" s="135"/>
      <c r="CN23" s="135"/>
      <c r="CO23" s="135"/>
      <c r="CP23" s="135"/>
      <c r="CQ23" s="135"/>
      <c r="CR23" s="135"/>
      <c r="CS23" s="136"/>
      <c r="CT23" s="130"/>
      <c r="CU23" s="137"/>
      <c r="CV23" s="114"/>
      <c r="CW23" s="132"/>
      <c r="CX23" s="133"/>
      <c r="CY23" s="134"/>
      <c r="CZ23" s="133"/>
      <c r="DA23" s="135"/>
      <c r="DB23" s="133"/>
      <c r="DC23" s="135"/>
      <c r="DD23" s="135"/>
      <c r="DE23" s="135"/>
      <c r="DF23" s="135"/>
      <c r="DG23" s="135"/>
      <c r="DH23" s="135"/>
      <c r="DI23" s="136"/>
      <c r="DJ23" s="130"/>
      <c r="DK23" s="137"/>
      <c r="DL23" s="114"/>
      <c r="DM23" s="132"/>
      <c r="DN23" s="133"/>
      <c r="DO23" s="134"/>
      <c r="DP23" s="133"/>
      <c r="DQ23" s="135"/>
      <c r="DR23" s="133"/>
      <c r="DS23" s="135"/>
      <c r="DT23" s="135"/>
      <c r="DU23" s="135"/>
      <c r="DV23" s="135"/>
      <c r="DW23" s="135"/>
      <c r="DX23" s="135"/>
      <c r="DY23" s="136"/>
      <c r="DZ23" s="130"/>
      <c r="EA23" s="137"/>
      <c r="EB23" s="114"/>
      <c r="EC23" s="132"/>
      <c r="ED23" s="133"/>
      <c r="EE23" s="134"/>
      <c r="EF23" s="133"/>
      <c r="EG23" s="135"/>
      <c r="EH23" s="133"/>
      <c r="EI23" s="135"/>
      <c r="EJ23" s="135"/>
      <c r="EK23" s="135"/>
      <c r="EL23" s="135"/>
      <c r="EM23" s="135"/>
      <c r="EN23" s="135"/>
      <c r="EO23" s="136"/>
      <c r="EP23" s="130"/>
      <c r="EQ23" s="137"/>
      <c r="ER23" s="114"/>
      <c r="ES23" s="132"/>
      <c r="ET23" s="133"/>
      <c r="EU23" s="134"/>
      <c r="EV23" s="133"/>
      <c r="EW23" s="135"/>
      <c r="EX23" s="133"/>
      <c r="EY23" s="135"/>
      <c r="EZ23" s="135"/>
      <c r="FA23" s="135"/>
      <c r="FB23" s="135"/>
      <c r="FC23" s="135"/>
      <c r="FD23" s="135"/>
      <c r="FE23" s="136"/>
      <c r="FF23" s="130"/>
      <c r="FG23" s="137"/>
      <c r="FH23" s="114"/>
      <c r="FI23" s="132"/>
      <c r="FJ23" s="133"/>
      <c r="FK23" s="134"/>
      <c r="FL23" s="133"/>
      <c r="FM23" s="135"/>
      <c r="FN23" s="133"/>
      <c r="FO23" s="135"/>
      <c r="FP23" s="135"/>
      <c r="FQ23" s="135"/>
      <c r="FR23" s="135"/>
      <c r="FS23" s="135"/>
      <c r="FT23" s="135"/>
      <c r="FU23" s="136"/>
      <c r="FV23" s="130"/>
      <c r="FW23" s="137"/>
      <c r="FX23" s="114"/>
      <c r="FY23" s="132"/>
      <c r="FZ23" s="133"/>
      <c r="GA23" s="134"/>
      <c r="GB23" s="133"/>
      <c r="GC23" s="135"/>
      <c r="GD23" s="133"/>
      <c r="GE23" s="135"/>
      <c r="GF23" s="135"/>
      <c r="GG23" s="135"/>
      <c r="GH23" s="135"/>
      <c r="GI23" s="135"/>
      <c r="GJ23" s="135"/>
      <c r="GK23" s="136"/>
      <c r="GL23" s="130"/>
      <c r="GM23" s="137"/>
      <c r="GN23" s="114"/>
      <c r="GO23" s="132"/>
      <c r="GP23" s="133"/>
      <c r="GQ23" s="134"/>
      <c r="GR23" s="133"/>
      <c r="GS23" s="135"/>
      <c r="GT23" s="133"/>
      <c r="GU23" s="135"/>
      <c r="GV23" s="135"/>
      <c r="GW23" s="135"/>
      <c r="GX23" s="135"/>
      <c r="GY23" s="135"/>
      <c r="GZ23" s="135"/>
      <c r="HA23" s="136"/>
      <c r="HB23" s="130"/>
      <c r="HC23" s="137"/>
      <c r="HD23" s="114"/>
      <c r="HE23" s="132"/>
      <c r="HF23" s="133"/>
      <c r="HG23" s="134"/>
      <c r="HH23" s="133"/>
      <c r="HI23" s="135"/>
      <c r="HJ23" s="133"/>
      <c r="HK23" s="135"/>
      <c r="HL23" s="135"/>
      <c r="HM23" s="135"/>
      <c r="HN23" s="135"/>
      <c r="HO23" s="135"/>
      <c r="HP23" s="135"/>
      <c r="HQ23" s="136"/>
      <c r="HR23" s="130"/>
      <c r="HS23" s="137"/>
      <c r="HT23" s="114"/>
      <c r="HU23" s="132"/>
      <c r="HV23" s="133"/>
      <c r="HW23" s="134"/>
      <c r="HX23" s="133"/>
      <c r="HY23" s="135"/>
      <c r="HZ23" s="133"/>
      <c r="IA23" s="135"/>
      <c r="IB23" s="135"/>
      <c r="IC23" s="135"/>
      <c r="ID23" s="135"/>
      <c r="IE23" s="135"/>
      <c r="IF23" s="135"/>
      <c r="IG23" s="136"/>
      <c r="IH23" s="130"/>
      <c r="II23" s="137"/>
      <c r="IJ23" s="114"/>
      <c r="IK23" s="132"/>
      <c r="IL23" s="133"/>
      <c r="IM23" s="134"/>
      <c r="IN23" s="133"/>
      <c r="IO23" s="135"/>
      <c r="IP23" s="133"/>
      <c r="IQ23" s="135"/>
      <c r="IR23" s="135"/>
      <c r="IS23" s="135"/>
      <c r="IT23" s="135"/>
      <c r="IU23" s="135"/>
      <c r="IV23" s="135"/>
    </row>
    <row r="24" spans="1:256" ht="12.75" customHeight="1">
      <c r="A24" s="117">
        <v>13</v>
      </c>
      <c r="B24" s="62" t="s">
        <v>105</v>
      </c>
      <c r="C24" s="118" t="s">
        <v>134</v>
      </c>
      <c r="D24" s="10" t="s">
        <v>9</v>
      </c>
      <c r="E24" s="111">
        <f>E22</f>
        <v>92.1</v>
      </c>
      <c r="F24" s="71"/>
      <c r="G24" s="82"/>
      <c r="H24" s="71"/>
      <c r="I24" s="70"/>
      <c r="J24" s="71"/>
      <c r="K24" s="70"/>
      <c r="L24" s="70"/>
      <c r="M24" s="70"/>
      <c r="N24" s="70"/>
      <c r="O24" s="70"/>
      <c r="P24" s="119"/>
      <c r="Q24" s="310"/>
      <c r="R24" s="130"/>
      <c r="S24" s="137"/>
      <c r="T24" s="114"/>
      <c r="U24" s="132"/>
      <c r="V24" s="133"/>
      <c r="W24" s="134"/>
      <c r="X24" s="133"/>
      <c r="Y24" s="135"/>
      <c r="Z24" s="133"/>
      <c r="AA24" s="135"/>
      <c r="AB24" s="135"/>
      <c r="AC24" s="135"/>
      <c r="AD24" s="135"/>
      <c r="AE24" s="135"/>
      <c r="AF24" s="135"/>
      <c r="AG24" s="136"/>
      <c r="AH24" s="130"/>
      <c r="AI24" s="137"/>
      <c r="AJ24" s="114"/>
      <c r="AK24" s="132"/>
      <c r="AL24" s="133"/>
      <c r="AM24" s="134"/>
      <c r="AN24" s="133"/>
      <c r="AO24" s="135"/>
      <c r="AP24" s="133"/>
      <c r="AQ24" s="135"/>
      <c r="AR24" s="135"/>
      <c r="AS24" s="135"/>
      <c r="AT24" s="135"/>
      <c r="AU24" s="135"/>
      <c r="AV24" s="135"/>
      <c r="AW24" s="136"/>
      <c r="AX24" s="130"/>
      <c r="AY24" s="137"/>
      <c r="AZ24" s="114"/>
      <c r="BA24" s="132"/>
      <c r="BB24" s="133"/>
      <c r="BC24" s="134"/>
      <c r="BD24" s="133"/>
      <c r="BE24" s="135"/>
      <c r="BF24" s="133"/>
      <c r="BG24" s="135"/>
      <c r="BH24" s="135"/>
      <c r="BI24" s="135"/>
      <c r="BJ24" s="135"/>
      <c r="BK24" s="135"/>
      <c r="BL24" s="135"/>
      <c r="BM24" s="136"/>
      <c r="BN24" s="130"/>
      <c r="BO24" s="137"/>
      <c r="BP24" s="114"/>
      <c r="BQ24" s="132"/>
      <c r="BR24" s="133"/>
      <c r="BS24" s="134"/>
      <c r="BT24" s="133"/>
      <c r="BU24" s="135"/>
      <c r="BV24" s="133"/>
      <c r="BW24" s="135"/>
      <c r="BX24" s="135"/>
      <c r="BY24" s="135"/>
      <c r="BZ24" s="135"/>
      <c r="CA24" s="135"/>
      <c r="CB24" s="135"/>
      <c r="CC24" s="136"/>
      <c r="CD24" s="130"/>
      <c r="CE24" s="137"/>
      <c r="CF24" s="114"/>
      <c r="CG24" s="132"/>
      <c r="CH24" s="133"/>
      <c r="CI24" s="134"/>
      <c r="CJ24" s="133"/>
      <c r="CK24" s="135"/>
      <c r="CL24" s="133"/>
      <c r="CM24" s="135"/>
      <c r="CN24" s="135"/>
      <c r="CO24" s="135"/>
      <c r="CP24" s="135"/>
      <c r="CQ24" s="135"/>
      <c r="CR24" s="135"/>
      <c r="CS24" s="136"/>
      <c r="CT24" s="130"/>
      <c r="CU24" s="137"/>
      <c r="CV24" s="114"/>
      <c r="CW24" s="132"/>
      <c r="CX24" s="133"/>
      <c r="CY24" s="134"/>
      <c r="CZ24" s="133"/>
      <c r="DA24" s="135"/>
      <c r="DB24" s="133"/>
      <c r="DC24" s="135"/>
      <c r="DD24" s="135"/>
      <c r="DE24" s="135"/>
      <c r="DF24" s="135"/>
      <c r="DG24" s="135"/>
      <c r="DH24" s="135"/>
      <c r="DI24" s="136"/>
      <c r="DJ24" s="130"/>
      <c r="DK24" s="137"/>
      <c r="DL24" s="114"/>
      <c r="DM24" s="132"/>
      <c r="DN24" s="133"/>
      <c r="DO24" s="134"/>
      <c r="DP24" s="133"/>
      <c r="DQ24" s="135"/>
      <c r="DR24" s="133"/>
      <c r="DS24" s="135"/>
      <c r="DT24" s="135"/>
      <c r="DU24" s="135"/>
      <c r="DV24" s="135"/>
      <c r="DW24" s="135"/>
      <c r="DX24" s="135"/>
      <c r="DY24" s="136"/>
      <c r="DZ24" s="130"/>
      <c r="EA24" s="137"/>
      <c r="EB24" s="114"/>
      <c r="EC24" s="132"/>
      <c r="ED24" s="133"/>
      <c r="EE24" s="134"/>
      <c r="EF24" s="133"/>
      <c r="EG24" s="135"/>
      <c r="EH24" s="133"/>
      <c r="EI24" s="135"/>
      <c r="EJ24" s="135"/>
      <c r="EK24" s="135"/>
      <c r="EL24" s="135"/>
      <c r="EM24" s="135"/>
      <c r="EN24" s="135"/>
      <c r="EO24" s="136"/>
      <c r="EP24" s="130"/>
      <c r="EQ24" s="137"/>
      <c r="ER24" s="114"/>
      <c r="ES24" s="132"/>
      <c r="ET24" s="133"/>
      <c r="EU24" s="134"/>
      <c r="EV24" s="133"/>
      <c r="EW24" s="135"/>
      <c r="EX24" s="133"/>
      <c r="EY24" s="135"/>
      <c r="EZ24" s="135"/>
      <c r="FA24" s="135"/>
      <c r="FB24" s="135"/>
      <c r="FC24" s="135"/>
      <c r="FD24" s="135"/>
      <c r="FE24" s="136"/>
      <c r="FF24" s="130"/>
      <c r="FG24" s="137"/>
      <c r="FH24" s="114"/>
      <c r="FI24" s="132"/>
      <c r="FJ24" s="133"/>
      <c r="FK24" s="134"/>
      <c r="FL24" s="133"/>
      <c r="FM24" s="135"/>
      <c r="FN24" s="133"/>
      <c r="FO24" s="135"/>
      <c r="FP24" s="135"/>
      <c r="FQ24" s="135"/>
      <c r="FR24" s="135"/>
      <c r="FS24" s="135"/>
      <c r="FT24" s="135"/>
      <c r="FU24" s="136"/>
      <c r="FV24" s="130"/>
      <c r="FW24" s="137"/>
      <c r="FX24" s="114"/>
      <c r="FY24" s="132"/>
      <c r="FZ24" s="133"/>
      <c r="GA24" s="134"/>
      <c r="GB24" s="133"/>
      <c r="GC24" s="135"/>
      <c r="GD24" s="133"/>
      <c r="GE24" s="135"/>
      <c r="GF24" s="135"/>
      <c r="GG24" s="135"/>
      <c r="GH24" s="135"/>
      <c r="GI24" s="135"/>
      <c r="GJ24" s="135"/>
      <c r="GK24" s="136"/>
      <c r="GL24" s="130"/>
      <c r="GM24" s="137"/>
      <c r="GN24" s="114"/>
      <c r="GO24" s="132"/>
      <c r="GP24" s="133"/>
      <c r="GQ24" s="134"/>
      <c r="GR24" s="133"/>
      <c r="GS24" s="135"/>
      <c r="GT24" s="133"/>
      <c r="GU24" s="135"/>
      <c r="GV24" s="135"/>
      <c r="GW24" s="135"/>
      <c r="GX24" s="135"/>
      <c r="GY24" s="135"/>
      <c r="GZ24" s="135"/>
      <c r="HA24" s="136"/>
      <c r="HB24" s="130"/>
      <c r="HC24" s="137"/>
      <c r="HD24" s="114"/>
      <c r="HE24" s="132"/>
      <c r="HF24" s="133"/>
      <c r="HG24" s="134"/>
      <c r="HH24" s="133"/>
      <c r="HI24" s="135"/>
      <c r="HJ24" s="133"/>
      <c r="HK24" s="135"/>
      <c r="HL24" s="135"/>
      <c r="HM24" s="135"/>
      <c r="HN24" s="135"/>
      <c r="HO24" s="135"/>
      <c r="HP24" s="135"/>
      <c r="HQ24" s="136"/>
      <c r="HR24" s="130"/>
      <c r="HS24" s="137"/>
      <c r="HT24" s="114"/>
      <c r="HU24" s="132"/>
      <c r="HV24" s="133"/>
      <c r="HW24" s="134"/>
      <c r="HX24" s="133"/>
      <c r="HY24" s="135"/>
      <c r="HZ24" s="133"/>
      <c r="IA24" s="135"/>
      <c r="IB24" s="135"/>
      <c r="IC24" s="135"/>
      <c r="ID24" s="135"/>
      <c r="IE24" s="135"/>
      <c r="IF24" s="135"/>
      <c r="IG24" s="136"/>
      <c r="IH24" s="130"/>
      <c r="II24" s="137"/>
      <c r="IJ24" s="114"/>
      <c r="IK24" s="132"/>
      <c r="IL24" s="133"/>
      <c r="IM24" s="134"/>
      <c r="IN24" s="133"/>
      <c r="IO24" s="135"/>
      <c r="IP24" s="133"/>
      <c r="IQ24" s="135"/>
      <c r="IR24" s="135"/>
      <c r="IS24" s="135"/>
      <c r="IT24" s="135"/>
      <c r="IU24" s="135"/>
      <c r="IV24" s="135"/>
    </row>
    <row r="25" spans="1:256" ht="12.75" customHeight="1">
      <c r="A25" s="117">
        <v>14</v>
      </c>
      <c r="B25" s="62" t="s">
        <v>105</v>
      </c>
      <c r="C25" s="118" t="s">
        <v>135</v>
      </c>
      <c r="D25" s="10" t="s">
        <v>9</v>
      </c>
      <c r="E25" s="111">
        <f>E22</f>
        <v>92.1</v>
      </c>
      <c r="F25" s="71"/>
      <c r="G25" s="82"/>
      <c r="H25" s="71"/>
      <c r="I25" s="70"/>
      <c r="J25" s="71"/>
      <c r="K25" s="70"/>
      <c r="L25" s="70"/>
      <c r="M25" s="70"/>
      <c r="N25" s="70"/>
      <c r="O25" s="70"/>
      <c r="P25" s="119"/>
      <c r="Q25" s="310"/>
      <c r="R25" s="130"/>
      <c r="S25" s="137"/>
      <c r="T25" s="114"/>
      <c r="U25" s="132"/>
      <c r="V25" s="133"/>
      <c r="W25" s="134"/>
      <c r="X25" s="133"/>
      <c r="Y25" s="135"/>
      <c r="Z25" s="133"/>
      <c r="AA25" s="135"/>
      <c r="AB25" s="135"/>
      <c r="AC25" s="135"/>
      <c r="AD25" s="135"/>
      <c r="AE25" s="135"/>
      <c r="AF25" s="135"/>
      <c r="AG25" s="136"/>
      <c r="AH25" s="130"/>
      <c r="AI25" s="137"/>
      <c r="AJ25" s="114"/>
      <c r="AK25" s="132"/>
      <c r="AL25" s="133"/>
      <c r="AM25" s="134"/>
      <c r="AN25" s="133"/>
      <c r="AO25" s="135"/>
      <c r="AP25" s="133"/>
      <c r="AQ25" s="135"/>
      <c r="AR25" s="135"/>
      <c r="AS25" s="135"/>
      <c r="AT25" s="135"/>
      <c r="AU25" s="135"/>
      <c r="AV25" s="135"/>
      <c r="AW25" s="136"/>
      <c r="AX25" s="130"/>
      <c r="AY25" s="137"/>
      <c r="AZ25" s="114"/>
      <c r="BA25" s="132"/>
      <c r="BB25" s="133"/>
      <c r="BC25" s="134"/>
      <c r="BD25" s="133"/>
      <c r="BE25" s="135"/>
      <c r="BF25" s="133"/>
      <c r="BG25" s="135"/>
      <c r="BH25" s="135"/>
      <c r="BI25" s="135"/>
      <c r="BJ25" s="135"/>
      <c r="BK25" s="135"/>
      <c r="BL25" s="135"/>
      <c r="BM25" s="136"/>
      <c r="BN25" s="130"/>
      <c r="BO25" s="137"/>
      <c r="BP25" s="114"/>
      <c r="BQ25" s="132"/>
      <c r="BR25" s="133"/>
      <c r="BS25" s="134"/>
      <c r="BT25" s="133"/>
      <c r="BU25" s="135"/>
      <c r="BV25" s="133"/>
      <c r="BW25" s="135"/>
      <c r="BX25" s="135"/>
      <c r="BY25" s="135"/>
      <c r="BZ25" s="135"/>
      <c r="CA25" s="135"/>
      <c r="CB25" s="135"/>
      <c r="CC25" s="136"/>
      <c r="CD25" s="130"/>
      <c r="CE25" s="137"/>
      <c r="CF25" s="114"/>
      <c r="CG25" s="132"/>
      <c r="CH25" s="133"/>
      <c r="CI25" s="134"/>
      <c r="CJ25" s="133"/>
      <c r="CK25" s="135"/>
      <c r="CL25" s="133"/>
      <c r="CM25" s="135"/>
      <c r="CN25" s="135"/>
      <c r="CO25" s="135"/>
      <c r="CP25" s="135"/>
      <c r="CQ25" s="135"/>
      <c r="CR25" s="135"/>
      <c r="CS25" s="136"/>
      <c r="CT25" s="130"/>
      <c r="CU25" s="137"/>
      <c r="CV25" s="114"/>
      <c r="CW25" s="132"/>
      <c r="CX25" s="133"/>
      <c r="CY25" s="134"/>
      <c r="CZ25" s="133"/>
      <c r="DA25" s="135"/>
      <c r="DB25" s="133"/>
      <c r="DC25" s="135"/>
      <c r="DD25" s="135"/>
      <c r="DE25" s="135"/>
      <c r="DF25" s="135"/>
      <c r="DG25" s="135"/>
      <c r="DH25" s="135"/>
      <c r="DI25" s="136"/>
      <c r="DJ25" s="130"/>
      <c r="DK25" s="137"/>
      <c r="DL25" s="114"/>
      <c r="DM25" s="132"/>
      <c r="DN25" s="133"/>
      <c r="DO25" s="134"/>
      <c r="DP25" s="133"/>
      <c r="DQ25" s="135"/>
      <c r="DR25" s="133"/>
      <c r="DS25" s="135"/>
      <c r="DT25" s="135"/>
      <c r="DU25" s="135"/>
      <c r="DV25" s="135"/>
      <c r="DW25" s="135"/>
      <c r="DX25" s="135"/>
      <c r="DY25" s="136"/>
      <c r="DZ25" s="130"/>
      <c r="EA25" s="137"/>
      <c r="EB25" s="114"/>
      <c r="EC25" s="132"/>
      <c r="ED25" s="133"/>
      <c r="EE25" s="134"/>
      <c r="EF25" s="133"/>
      <c r="EG25" s="135"/>
      <c r="EH25" s="133"/>
      <c r="EI25" s="135"/>
      <c r="EJ25" s="135"/>
      <c r="EK25" s="135"/>
      <c r="EL25" s="135"/>
      <c r="EM25" s="135"/>
      <c r="EN25" s="135"/>
      <c r="EO25" s="136"/>
      <c r="EP25" s="130"/>
      <c r="EQ25" s="137"/>
      <c r="ER25" s="114"/>
      <c r="ES25" s="132"/>
      <c r="ET25" s="133"/>
      <c r="EU25" s="134"/>
      <c r="EV25" s="133"/>
      <c r="EW25" s="135"/>
      <c r="EX25" s="133"/>
      <c r="EY25" s="135"/>
      <c r="EZ25" s="135"/>
      <c r="FA25" s="135"/>
      <c r="FB25" s="135"/>
      <c r="FC25" s="135"/>
      <c r="FD25" s="135"/>
      <c r="FE25" s="136"/>
      <c r="FF25" s="130"/>
      <c r="FG25" s="137"/>
      <c r="FH25" s="114"/>
      <c r="FI25" s="132"/>
      <c r="FJ25" s="133"/>
      <c r="FK25" s="134"/>
      <c r="FL25" s="133"/>
      <c r="FM25" s="135"/>
      <c r="FN25" s="133"/>
      <c r="FO25" s="135"/>
      <c r="FP25" s="135"/>
      <c r="FQ25" s="135"/>
      <c r="FR25" s="135"/>
      <c r="FS25" s="135"/>
      <c r="FT25" s="135"/>
      <c r="FU25" s="136"/>
      <c r="FV25" s="130"/>
      <c r="FW25" s="137"/>
      <c r="FX25" s="114"/>
      <c r="FY25" s="132"/>
      <c r="FZ25" s="133"/>
      <c r="GA25" s="134"/>
      <c r="GB25" s="133"/>
      <c r="GC25" s="135"/>
      <c r="GD25" s="133"/>
      <c r="GE25" s="135"/>
      <c r="GF25" s="135"/>
      <c r="GG25" s="135"/>
      <c r="GH25" s="135"/>
      <c r="GI25" s="135"/>
      <c r="GJ25" s="135"/>
      <c r="GK25" s="136"/>
      <c r="GL25" s="130"/>
      <c r="GM25" s="137"/>
      <c r="GN25" s="114"/>
      <c r="GO25" s="132"/>
      <c r="GP25" s="133"/>
      <c r="GQ25" s="134"/>
      <c r="GR25" s="133"/>
      <c r="GS25" s="135"/>
      <c r="GT25" s="133"/>
      <c r="GU25" s="135"/>
      <c r="GV25" s="135"/>
      <c r="GW25" s="135"/>
      <c r="GX25" s="135"/>
      <c r="GY25" s="135"/>
      <c r="GZ25" s="135"/>
      <c r="HA25" s="136"/>
      <c r="HB25" s="130"/>
      <c r="HC25" s="137"/>
      <c r="HD25" s="114"/>
      <c r="HE25" s="132"/>
      <c r="HF25" s="133"/>
      <c r="HG25" s="134"/>
      <c r="HH25" s="133"/>
      <c r="HI25" s="135"/>
      <c r="HJ25" s="133"/>
      <c r="HK25" s="135"/>
      <c r="HL25" s="135"/>
      <c r="HM25" s="135"/>
      <c r="HN25" s="135"/>
      <c r="HO25" s="135"/>
      <c r="HP25" s="135"/>
      <c r="HQ25" s="136"/>
      <c r="HR25" s="130"/>
      <c r="HS25" s="137"/>
      <c r="HT25" s="114"/>
      <c r="HU25" s="132"/>
      <c r="HV25" s="133"/>
      <c r="HW25" s="134"/>
      <c r="HX25" s="133"/>
      <c r="HY25" s="135"/>
      <c r="HZ25" s="133"/>
      <c r="IA25" s="135"/>
      <c r="IB25" s="135"/>
      <c r="IC25" s="135"/>
      <c r="ID25" s="135"/>
      <c r="IE25" s="135"/>
      <c r="IF25" s="135"/>
      <c r="IG25" s="136"/>
      <c r="IH25" s="130"/>
      <c r="II25" s="137"/>
      <c r="IJ25" s="114"/>
      <c r="IK25" s="132"/>
      <c r="IL25" s="133"/>
      <c r="IM25" s="134"/>
      <c r="IN25" s="133"/>
      <c r="IO25" s="135"/>
      <c r="IP25" s="133"/>
      <c r="IQ25" s="135"/>
      <c r="IR25" s="135"/>
      <c r="IS25" s="135"/>
      <c r="IT25" s="135"/>
      <c r="IU25" s="135"/>
      <c r="IV25" s="135"/>
    </row>
    <row r="26" spans="1:256" ht="12.75" customHeight="1">
      <c r="A26" s="117">
        <v>15</v>
      </c>
      <c r="B26" s="62" t="s">
        <v>105</v>
      </c>
      <c r="C26" s="110" t="s">
        <v>112</v>
      </c>
      <c r="D26" s="10" t="s">
        <v>9</v>
      </c>
      <c r="E26" s="111">
        <f>(8.53*2+21.6)*2.55</f>
        <v>98.58</v>
      </c>
      <c r="F26" s="71"/>
      <c r="G26" s="82"/>
      <c r="H26" s="71"/>
      <c r="I26" s="70"/>
      <c r="J26" s="70"/>
      <c r="K26" s="70"/>
      <c r="L26" s="70"/>
      <c r="M26" s="70"/>
      <c r="N26" s="70"/>
      <c r="O26" s="70"/>
      <c r="P26" s="119"/>
      <c r="Q26" s="310"/>
      <c r="R26" s="130"/>
      <c r="S26" s="131"/>
      <c r="T26" s="114"/>
      <c r="U26" s="132"/>
      <c r="V26" s="133"/>
      <c r="W26" s="134"/>
      <c r="X26" s="135"/>
      <c r="Y26" s="135"/>
      <c r="Z26" s="135"/>
      <c r="AA26" s="135"/>
      <c r="AB26" s="135"/>
      <c r="AC26" s="135"/>
      <c r="AD26" s="135"/>
      <c r="AE26" s="135"/>
      <c r="AF26" s="135"/>
      <c r="AG26" s="136"/>
      <c r="AH26" s="130"/>
      <c r="AI26" s="131"/>
      <c r="AJ26" s="114"/>
      <c r="AK26" s="132"/>
      <c r="AL26" s="133"/>
      <c r="AM26" s="134"/>
      <c r="AN26" s="135"/>
      <c r="AO26" s="135"/>
      <c r="AP26" s="135"/>
      <c r="AQ26" s="135"/>
      <c r="AR26" s="135"/>
      <c r="AS26" s="135"/>
      <c r="AT26" s="135"/>
      <c r="AU26" s="135"/>
      <c r="AV26" s="135"/>
      <c r="AW26" s="136"/>
      <c r="AX26" s="130"/>
      <c r="AY26" s="131"/>
      <c r="AZ26" s="114"/>
      <c r="BA26" s="132"/>
      <c r="BB26" s="133"/>
      <c r="BC26" s="134"/>
      <c r="BD26" s="135"/>
      <c r="BE26" s="135"/>
      <c r="BF26" s="135"/>
      <c r="BG26" s="135"/>
      <c r="BH26" s="135"/>
      <c r="BI26" s="135"/>
      <c r="BJ26" s="135"/>
      <c r="BK26" s="135"/>
      <c r="BL26" s="135"/>
      <c r="BM26" s="136"/>
      <c r="BN26" s="130"/>
      <c r="BO26" s="131"/>
      <c r="BP26" s="114"/>
      <c r="BQ26" s="132"/>
      <c r="BR26" s="133"/>
      <c r="BS26" s="134"/>
      <c r="BT26" s="135"/>
      <c r="BU26" s="135"/>
      <c r="BV26" s="135"/>
      <c r="BW26" s="135"/>
      <c r="BX26" s="135"/>
      <c r="BY26" s="135"/>
      <c r="BZ26" s="135"/>
      <c r="CA26" s="135"/>
      <c r="CB26" s="135"/>
      <c r="CC26" s="136"/>
      <c r="CD26" s="130"/>
      <c r="CE26" s="131"/>
      <c r="CF26" s="114"/>
      <c r="CG26" s="132"/>
      <c r="CH26" s="133"/>
      <c r="CI26" s="134"/>
      <c r="CJ26" s="135"/>
      <c r="CK26" s="135"/>
      <c r="CL26" s="135"/>
      <c r="CM26" s="135"/>
      <c r="CN26" s="135"/>
      <c r="CO26" s="135"/>
      <c r="CP26" s="135"/>
      <c r="CQ26" s="135"/>
      <c r="CR26" s="135"/>
      <c r="CS26" s="136"/>
      <c r="CT26" s="130"/>
      <c r="CU26" s="131"/>
      <c r="CV26" s="114"/>
      <c r="CW26" s="132"/>
      <c r="CX26" s="133"/>
      <c r="CY26" s="134"/>
      <c r="CZ26" s="135"/>
      <c r="DA26" s="135"/>
      <c r="DB26" s="135"/>
      <c r="DC26" s="135"/>
      <c r="DD26" s="135"/>
      <c r="DE26" s="135"/>
      <c r="DF26" s="135"/>
      <c r="DG26" s="135"/>
      <c r="DH26" s="135"/>
      <c r="DI26" s="136"/>
      <c r="DJ26" s="130"/>
      <c r="DK26" s="131"/>
      <c r="DL26" s="114"/>
      <c r="DM26" s="132"/>
      <c r="DN26" s="133"/>
      <c r="DO26" s="134"/>
      <c r="DP26" s="135"/>
      <c r="DQ26" s="135"/>
      <c r="DR26" s="135"/>
      <c r="DS26" s="135"/>
      <c r="DT26" s="135"/>
      <c r="DU26" s="135"/>
      <c r="DV26" s="135"/>
      <c r="DW26" s="135"/>
      <c r="DX26" s="135"/>
      <c r="DY26" s="136"/>
      <c r="DZ26" s="130"/>
      <c r="EA26" s="131"/>
      <c r="EB26" s="114"/>
      <c r="EC26" s="132"/>
      <c r="ED26" s="133"/>
      <c r="EE26" s="134"/>
      <c r="EF26" s="135"/>
      <c r="EG26" s="135"/>
      <c r="EH26" s="135"/>
      <c r="EI26" s="135"/>
      <c r="EJ26" s="135"/>
      <c r="EK26" s="135"/>
      <c r="EL26" s="135"/>
      <c r="EM26" s="135"/>
      <c r="EN26" s="135"/>
      <c r="EO26" s="136"/>
      <c r="EP26" s="130"/>
      <c r="EQ26" s="131"/>
      <c r="ER26" s="114"/>
      <c r="ES26" s="132"/>
      <c r="ET26" s="133"/>
      <c r="EU26" s="134"/>
      <c r="EV26" s="135"/>
      <c r="EW26" s="135"/>
      <c r="EX26" s="135"/>
      <c r="EY26" s="135"/>
      <c r="EZ26" s="135"/>
      <c r="FA26" s="135"/>
      <c r="FB26" s="135"/>
      <c r="FC26" s="135"/>
      <c r="FD26" s="135"/>
      <c r="FE26" s="136"/>
      <c r="FF26" s="130"/>
      <c r="FG26" s="131"/>
      <c r="FH26" s="114"/>
      <c r="FI26" s="132"/>
      <c r="FJ26" s="133"/>
      <c r="FK26" s="134"/>
      <c r="FL26" s="135"/>
      <c r="FM26" s="135"/>
      <c r="FN26" s="135"/>
      <c r="FO26" s="135"/>
      <c r="FP26" s="135"/>
      <c r="FQ26" s="135"/>
      <c r="FR26" s="135"/>
      <c r="FS26" s="135"/>
      <c r="FT26" s="135"/>
      <c r="FU26" s="136"/>
      <c r="FV26" s="130"/>
      <c r="FW26" s="131"/>
      <c r="FX26" s="114"/>
      <c r="FY26" s="132"/>
      <c r="FZ26" s="133"/>
      <c r="GA26" s="134"/>
      <c r="GB26" s="135"/>
      <c r="GC26" s="135"/>
      <c r="GD26" s="135"/>
      <c r="GE26" s="135"/>
      <c r="GF26" s="135"/>
      <c r="GG26" s="135"/>
      <c r="GH26" s="135"/>
      <c r="GI26" s="135"/>
      <c r="GJ26" s="135"/>
      <c r="GK26" s="136"/>
      <c r="GL26" s="130"/>
      <c r="GM26" s="131"/>
      <c r="GN26" s="114"/>
      <c r="GO26" s="132"/>
      <c r="GP26" s="133"/>
      <c r="GQ26" s="134"/>
      <c r="GR26" s="135"/>
      <c r="GS26" s="135"/>
      <c r="GT26" s="135"/>
      <c r="GU26" s="135"/>
      <c r="GV26" s="135"/>
      <c r="GW26" s="135"/>
      <c r="GX26" s="135"/>
      <c r="GY26" s="135"/>
      <c r="GZ26" s="135"/>
      <c r="HA26" s="136"/>
      <c r="HB26" s="130"/>
      <c r="HC26" s="131"/>
      <c r="HD26" s="114"/>
      <c r="HE26" s="132"/>
      <c r="HF26" s="133"/>
      <c r="HG26" s="134"/>
      <c r="HH26" s="135"/>
      <c r="HI26" s="135"/>
      <c r="HJ26" s="135"/>
      <c r="HK26" s="135"/>
      <c r="HL26" s="135"/>
      <c r="HM26" s="135"/>
      <c r="HN26" s="135"/>
      <c r="HO26" s="135"/>
      <c r="HP26" s="135"/>
      <c r="HQ26" s="136"/>
      <c r="HR26" s="130"/>
      <c r="HS26" s="131"/>
      <c r="HT26" s="114"/>
      <c r="HU26" s="132"/>
      <c r="HV26" s="133"/>
      <c r="HW26" s="134"/>
      <c r="HX26" s="135"/>
      <c r="HY26" s="135"/>
      <c r="HZ26" s="135"/>
      <c r="IA26" s="135"/>
      <c r="IB26" s="135"/>
      <c r="IC26" s="135"/>
      <c r="ID26" s="135"/>
      <c r="IE26" s="135"/>
      <c r="IF26" s="135"/>
      <c r="IG26" s="136"/>
      <c r="IH26" s="130"/>
      <c r="II26" s="131"/>
      <c r="IJ26" s="114"/>
      <c r="IK26" s="132"/>
      <c r="IL26" s="133"/>
      <c r="IM26" s="134"/>
      <c r="IN26" s="135"/>
      <c r="IO26" s="135"/>
      <c r="IP26" s="135"/>
      <c r="IQ26" s="135"/>
      <c r="IR26" s="135"/>
      <c r="IS26" s="135"/>
      <c r="IT26" s="135"/>
      <c r="IU26" s="135"/>
      <c r="IV26" s="135"/>
    </row>
    <row r="27" spans="1:256" ht="12.75" customHeight="1">
      <c r="A27" s="117">
        <v>16</v>
      </c>
      <c r="B27" s="62" t="s">
        <v>105</v>
      </c>
      <c r="C27" s="118" t="s">
        <v>110</v>
      </c>
      <c r="D27" s="10" t="s">
        <v>9</v>
      </c>
      <c r="E27" s="111">
        <f>E26+17.06*2.55</f>
        <v>142.08000000000001</v>
      </c>
      <c r="F27" s="71"/>
      <c r="G27" s="82"/>
      <c r="H27" s="71"/>
      <c r="I27" s="70"/>
      <c r="J27" s="71"/>
      <c r="K27" s="70"/>
      <c r="L27" s="70"/>
      <c r="M27" s="70"/>
      <c r="N27" s="70"/>
      <c r="O27" s="70"/>
      <c r="P27" s="119"/>
      <c r="Q27" s="310"/>
      <c r="R27" s="130"/>
      <c r="S27" s="137"/>
      <c r="T27" s="114"/>
      <c r="U27" s="132"/>
      <c r="V27" s="133"/>
      <c r="W27" s="134"/>
      <c r="X27" s="133"/>
      <c r="Y27" s="135"/>
      <c r="Z27" s="133"/>
      <c r="AA27" s="135"/>
      <c r="AB27" s="135"/>
      <c r="AC27" s="135"/>
      <c r="AD27" s="135"/>
      <c r="AE27" s="135"/>
      <c r="AF27" s="135"/>
      <c r="AG27" s="136"/>
      <c r="AH27" s="130"/>
      <c r="AI27" s="137"/>
      <c r="AJ27" s="114"/>
      <c r="AK27" s="132"/>
      <c r="AL27" s="133"/>
      <c r="AM27" s="134"/>
      <c r="AN27" s="133"/>
      <c r="AO27" s="135"/>
      <c r="AP27" s="133"/>
      <c r="AQ27" s="135"/>
      <c r="AR27" s="135"/>
      <c r="AS27" s="135"/>
      <c r="AT27" s="135"/>
      <c r="AU27" s="135"/>
      <c r="AV27" s="135"/>
      <c r="AW27" s="136"/>
      <c r="AX27" s="130"/>
      <c r="AY27" s="137"/>
      <c r="AZ27" s="114"/>
      <c r="BA27" s="132"/>
      <c r="BB27" s="133"/>
      <c r="BC27" s="134"/>
      <c r="BD27" s="133"/>
      <c r="BE27" s="135"/>
      <c r="BF27" s="133"/>
      <c r="BG27" s="135"/>
      <c r="BH27" s="135"/>
      <c r="BI27" s="135"/>
      <c r="BJ27" s="135"/>
      <c r="BK27" s="135"/>
      <c r="BL27" s="135"/>
      <c r="BM27" s="136"/>
      <c r="BN27" s="130"/>
      <c r="BO27" s="137"/>
      <c r="BP27" s="114"/>
      <c r="BQ27" s="132"/>
      <c r="BR27" s="133"/>
      <c r="BS27" s="134"/>
      <c r="BT27" s="133"/>
      <c r="BU27" s="135"/>
      <c r="BV27" s="133"/>
      <c r="BW27" s="135"/>
      <c r="BX27" s="135"/>
      <c r="BY27" s="135"/>
      <c r="BZ27" s="135"/>
      <c r="CA27" s="135"/>
      <c r="CB27" s="135"/>
      <c r="CC27" s="136"/>
      <c r="CD27" s="130"/>
      <c r="CE27" s="137"/>
      <c r="CF27" s="114"/>
      <c r="CG27" s="132"/>
      <c r="CH27" s="133"/>
      <c r="CI27" s="134"/>
      <c r="CJ27" s="133"/>
      <c r="CK27" s="135"/>
      <c r="CL27" s="133"/>
      <c r="CM27" s="135"/>
      <c r="CN27" s="135"/>
      <c r="CO27" s="135"/>
      <c r="CP27" s="135"/>
      <c r="CQ27" s="135"/>
      <c r="CR27" s="135"/>
      <c r="CS27" s="136"/>
      <c r="CT27" s="130"/>
      <c r="CU27" s="137"/>
      <c r="CV27" s="114"/>
      <c r="CW27" s="132"/>
      <c r="CX27" s="133"/>
      <c r="CY27" s="134"/>
      <c r="CZ27" s="133"/>
      <c r="DA27" s="135"/>
      <c r="DB27" s="133"/>
      <c r="DC27" s="135"/>
      <c r="DD27" s="135"/>
      <c r="DE27" s="135"/>
      <c r="DF27" s="135"/>
      <c r="DG27" s="135"/>
      <c r="DH27" s="135"/>
      <c r="DI27" s="136"/>
      <c r="DJ27" s="130"/>
      <c r="DK27" s="137"/>
      <c r="DL27" s="114"/>
      <c r="DM27" s="132"/>
      <c r="DN27" s="133"/>
      <c r="DO27" s="134"/>
      <c r="DP27" s="133"/>
      <c r="DQ27" s="135"/>
      <c r="DR27" s="133"/>
      <c r="DS27" s="135"/>
      <c r="DT27" s="135"/>
      <c r="DU27" s="135"/>
      <c r="DV27" s="135"/>
      <c r="DW27" s="135"/>
      <c r="DX27" s="135"/>
      <c r="DY27" s="136"/>
      <c r="DZ27" s="130"/>
      <c r="EA27" s="137"/>
      <c r="EB27" s="114"/>
      <c r="EC27" s="132"/>
      <c r="ED27" s="133"/>
      <c r="EE27" s="134"/>
      <c r="EF27" s="133"/>
      <c r="EG27" s="135"/>
      <c r="EH27" s="133"/>
      <c r="EI27" s="135"/>
      <c r="EJ27" s="135"/>
      <c r="EK27" s="135"/>
      <c r="EL27" s="135"/>
      <c r="EM27" s="135"/>
      <c r="EN27" s="135"/>
      <c r="EO27" s="136"/>
      <c r="EP27" s="130"/>
      <c r="EQ27" s="137"/>
      <c r="ER27" s="114"/>
      <c r="ES27" s="132"/>
      <c r="ET27" s="133"/>
      <c r="EU27" s="134"/>
      <c r="EV27" s="133"/>
      <c r="EW27" s="135"/>
      <c r="EX27" s="133"/>
      <c r="EY27" s="135"/>
      <c r="EZ27" s="135"/>
      <c r="FA27" s="135"/>
      <c r="FB27" s="135"/>
      <c r="FC27" s="135"/>
      <c r="FD27" s="135"/>
      <c r="FE27" s="136"/>
      <c r="FF27" s="130"/>
      <c r="FG27" s="137"/>
      <c r="FH27" s="114"/>
      <c r="FI27" s="132"/>
      <c r="FJ27" s="133"/>
      <c r="FK27" s="134"/>
      <c r="FL27" s="133"/>
      <c r="FM27" s="135"/>
      <c r="FN27" s="133"/>
      <c r="FO27" s="135"/>
      <c r="FP27" s="135"/>
      <c r="FQ27" s="135"/>
      <c r="FR27" s="135"/>
      <c r="FS27" s="135"/>
      <c r="FT27" s="135"/>
      <c r="FU27" s="136"/>
      <c r="FV27" s="130"/>
      <c r="FW27" s="137"/>
      <c r="FX27" s="114"/>
      <c r="FY27" s="132"/>
      <c r="FZ27" s="133"/>
      <c r="GA27" s="134"/>
      <c r="GB27" s="133"/>
      <c r="GC27" s="135"/>
      <c r="GD27" s="133"/>
      <c r="GE27" s="135"/>
      <c r="GF27" s="135"/>
      <c r="GG27" s="135"/>
      <c r="GH27" s="135"/>
      <c r="GI27" s="135"/>
      <c r="GJ27" s="135"/>
      <c r="GK27" s="136"/>
      <c r="GL27" s="130"/>
      <c r="GM27" s="137"/>
      <c r="GN27" s="114"/>
      <c r="GO27" s="132"/>
      <c r="GP27" s="133"/>
      <c r="GQ27" s="134"/>
      <c r="GR27" s="133"/>
      <c r="GS27" s="135"/>
      <c r="GT27" s="133"/>
      <c r="GU27" s="135"/>
      <c r="GV27" s="135"/>
      <c r="GW27" s="135"/>
      <c r="GX27" s="135"/>
      <c r="GY27" s="135"/>
      <c r="GZ27" s="135"/>
      <c r="HA27" s="136"/>
      <c r="HB27" s="130"/>
      <c r="HC27" s="137"/>
      <c r="HD27" s="114"/>
      <c r="HE27" s="132"/>
      <c r="HF27" s="133"/>
      <c r="HG27" s="134"/>
      <c r="HH27" s="133"/>
      <c r="HI27" s="135"/>
      <c r="HJ27" s="133"/>
      <c r="HK27" s="135"/>
      <c r="HL27" s="135"/>
      <c r="HM27" s="135"/>
      <c r="HN27" s="135"/>
      <c r="HO27" s="135"/>
      <c r="HP27" s="135"/>
      <c r="HQ27" s="136"/>
      <c r="HR27" s="130"/>
      <c r="HS27" s="137"/>
      <c r="HT27" s="114"/>
      <c r="HU27" s="132"/>
      <c r="HV27" s="133"/>
      <c r="HW27" s="134"/>
      <c r="HX27" s="133"/>
      <c r="HY27" s="135"/>
      <c r="HZ27" s="133"/>
      <c r="IA27" s="135"/>
      <c r="IB27" s="135"/>
      <c r="IC27" s="135"/>
      <c r="ID27" s="135"/>
      <c r="IE27" s="135"/>
      <c r="IF27" s="135"/>
      <c r="IG27" s="136"/>
      <c r="IH27" s="130"/>
      <c r="II27" s="137"/>
      <c r="IJ27" s="114"/>
      <c r="IK27" s="132"/>
      <c r="IL27" s="133"/>
      <c r="IM27" s="134"/>
      <c r="IN27" s="133"/>
      <c r="IO27" s="135"/>
      <c r="IP27" s="133"/>
      <c r="IQ27" s="135"/>
      <c r="IR27" s="135"/>
      <c r="IS27" s="135"/>
      <c r="IT27" s="135"/>
      <c r="IU27" s="135"/>
      <c r="IV27" s="135"/>
    </row>
    <row r="28" spans="1:256" ht="12.75" customHeight="1">
      <c r="A28" s="117">
        <v>17</v>
      </c>
      <c r="B28" s="62" t="s">
        <v>105</v>
      </c>
      <c r="C28" s="118" t="s">
        <v>111</v>
      </c>
      <c r="D28" s="10" t="s">
        <v>9</v>
      </c>
      <c r="E28" s="111">
        <f>E27</f>
        <v>142.08000000000001</v>
      </c>
      <c r="F28" s="71"/>
      <c r="G28" s="82"/>
      <c r="H28" s="71"/>
      <c r="I28" s="70"/>
      <c r="J28" s="71"/>
      <c r="K28" s="70"/>
      <c r="L28" s="70"/>
      <c r="M28" s="70"/>
      <c r="N28" s="70"/>
      <c r="O28" s="70"/>
      <c r="P28" s="119"/>
      <c r="Q28" s="310"/>
      <c r="R28" s="130"/>
      <c r="S28" s="137"/>
      <c r="T28" s="114"/>
      <c r="U28" s="132"/>
      <c r="V28" s="133"/>
      <c r="W28" s="134"/>
      <c r="X28" s="133"/>
      <c r="Y28" s="135"/>
      <c r="Z28" s="133"/>
      <c r="AA28" s="135"/>
      <c r="AB28" s="135"/>
      <c r="AC28" s="135"/>
      <c r="AD28" s="135"/>
      <c r="AE28" s="135"/>
      <c r="AF28" s="135"/>
      <c r="AG28" s="136"/>
      <c r="AH28" s="130"/>
      <c r="AI28" s="137"/>
      <c r="AJ28" s="114"/>
      <c r="AK28" s="132"/>
      <c r="AL28" s="133"/>
      <c r="AM28" s="134"/>
      <c r="AN28" s="133"/>
      <c r="AO28" s="135"/>
      <c r="AP28" s="133"/>
      <c r="AQ28" s="135"/>
      <c r="AR28" s="135"/>
      <c r="AS28" s="135"/>
      <c r="AT28" s="135"/>
      <c r="AU28" s="135"/>
      <c r="AV28" s="135"/>
      <c r="AW28" s="136"/>
      <c r="AX28" s="130"/>
      <c r="AY28" s="137"/>
      <c r="AZ28" s="114"/>
      <c r="BA28" s="132"/>
      <c r="BB28" s="133"/>
      <c r="BC28" s="134"/>
      <c r="BD28" s="133"/>
      <c r="BE28" s="135"/>
      <c r="BF28" s="133"/>
      <c r="BG28" s="135"/>
      <c r="BH28" s="135"/>
      <c r="BI28" s="135"/>
      <c r="BJ28" s="135"/>
      <c r="BK28" s="135"/>
      <c r="BL28" s="135"/>
      <c r="BM28" s="136"/>
      <c r="BN28" s="130"/>
      <c r="BO28" s="137"/>
      <c r="BP28" s="114"/>
      <c r="BQ28" s="132"/>
      <c r="BR28" s="133"/>
      <c r="BS28" s="134"/>
      <c r="BT28" s="133"/>
      <c r="BU28" s="135"/>
      <c r="BV28" s="133"/>
      <c r="BW28" s="135"/>
      <c r="BX28" s="135"/>
      <c r="BY28" s="135"/>
      <c r="BZ28" s="135"/>
      <c r="CA28" s="135"/>
      <c r="CB28" s="135"/>
      <c r="CC28" s="136"/>
      <c r="CD28" s="130"/>
      <c r="CE28" s="137"/>
      <c r="CF28" s="114"/>
      <c r="CG28" s="132"/>
      <c r="CH28" s="133"/>
      <c r="CI28" s="134"/>
      <c r="CJ28" s="133"/>
      <c r="CK28" s="135"/>
      <c r="CL28" s="133"/>
      <c r="CM28" s="135"/>
      <c r="CN28" s="135"/>
      <c r="CO28" s="135"/>
      <c r="CP28" s="135"/>
      <c r="CQ28" s="135"/>
      <c r="CR28" s="135"/>
      <c r="CS28" s="136"/>
      <c r="CT28" s="130"/>
      <c r="CU28" s="137"/>
      <c r="CV28" s="114"/>
      <c r="CW28" s="132"/>
      <c r="CX28" s="133"/>
      <c r="CY28" s="134"/>
      <c r="CZ28" s="133"/>
      <c r="DA28" s="135"/>
      <c r="DB28" s="133"/>
      <c r="DC28" s="135"/>
      <c r="DD28" s="135"/>
      <c r="DE28" s="135"/>
      <c r="DF28" s="135"/>
      <c r="DG28" s="135"/>
      <c r="DH28" s="135"/>
      <c r="DI28" s="136"/>
      <c r="DJ28" s="130"/>
      <c r="DK28" s="137"/>
      <c r="DL28" s="114"/>
      <c r="DM28" s="132"/>
      <c r="DN28" s="133"/>
      <c r="DO28" s="134"/>
      <c r="DP28" s="133"/>
      <c r="DQ28" s="135"/>
      <c r="DR28" s="133"/>
      <c r="DS28" s="135"/>
      <c r="DT28" s="135"/>
      <c r="DU28" s="135"/>
      <c r="DV28" s="135"/>
      <c r="DW28" s="135"/>
      <c r="DX28" s="135"/>
      <c r="DY28" s="136"/>
      <c r="DZ28" s="130"/>
      <c r="EA28" s="137"/>
      <c r="EB28" s="114"/>
      <c r="EC28" s="132"/>
      <c r="ED28" s="133"/>
      <c r="EE28" s="134"/>
      <c r="EF28" s="133"/>
      <c r="EG28" s="135"/>
      <c r="EH28" s="133"/>
      <c r="EI28" s="135"/>
      <c r="EJ28" s="135"/>
      <c r="EK28" s="135"/>
      <c r="EL28" s="135"/>
      <c r="EM28" s="135"/>
      <c r="EN28" s="135"/>
      <c r="EO28" s="136"/>
      <c r="EP28" s="130"/>
      <c r="EQ28" s="137"/>
      <c r="ER28" s="114"/>
      <c r="ES28" s="132"/>
      <c r="ET28" s="133"/>
      <c r="EU28" s="134"/>
      <c r="EV28" s="133"/>
      <c r="EW28" s="135"/>
      <c r="EX28" s="133"/>
      <c r="EY28" s="135"/>
      <c r="EZ28" s="135"/>
      <c r="FA28" s="135"/>
      <c r="FB28" s="135"/>
      <c r="FC28" s="135"/>
      <c r="FD28" s="135"/>
      <c r="FE28" s="136"/>
      <c r="FF28" s="130"/>
      <c r="FG28" s="137"/>
      <c r="FH28" s="114"/>
      <c r="FI28" s="132"/>
      <c r="FJ28" s="133"/>
      <c r="FK28" s="134"/>
      <c r="FL28" s="133"/>
      <c r="FM28" s="135"/>
      <c r="FN28" s="133"/>
      <c r="FO28" s="135"/>
      <c r="FP28" s="135"/>
      <c r="FQ28" s="135"/>
      <c r="FR28" s="135"/>
      <c r="FS28" s="135"/>
      <c r="FT28" s="135"/>
      <c r="FU28" s="136"/>
      <c r="FV28" s="130"/>
      <c r="FW28" s="137"/>
      <c r="FX28" s="114"/>
      <c r="FY28" s="132"/>
      <c r="FZ28" s="133"/>
      <c r="GA28" s="134"/>
      <c r="GB28" s="133"/>
      <c r="GC28" s="135"/>
      <c r="GD28" s="133"/>
      <c r="GE28" s="135"/>
      <c r="GF28" s="135"/>
      <c r="GG28" s="135"/>
      <c r="GH28" s="135"/>
      <c r="GI28" s="135"/>
      <c r="GJ28" s="135"/>
      <c r="GK28" s="136"/>
      <c r="GL28" s="130"/>
      <c r="GM28" s="137"/>
      <c r="GN28" s="114"/>
      <c r="GO28" s="132"/>
      <c r="GP28" s="133"/>
      <c r="GQ28" s="134"/>
      <c r="GR28" s="133"/>
      <c r="GS28" s="135"/>
      <c r="GT28" s="133"/>
      <c r="GU28" s="135"/>
      <c r="GV28" s="135"/>
      <c r="GW28" s="135"/>
      <c r="GX28" s="135"/>
      <c r="GY28" s="135"/>
      <c r="GZ28" s="135"/>
      <c r="HA28" s="136"/>
      <c r="HB28" s="130"/>
      <c r="HC28" s="137"/>
      <c r="HD28" s="114"/>
      <c r="HE28" s="132"/>
      <c r="HF28" s="133"/>
      <c r="HG28" s="134"/>
      <c r="HH28" s="133"/>
      <c r="HI28" s="135"/>
      <c r="HJ28" s="133"/>
      <c r="HK28" s="135"/>
      <c r="HL28" s="135"/>
      <c r="HM28" s="135"/>
      <c r="HN28" s="135"/>
      <c r="HO28" s="135"/>
      <c r="HP28" s="135"/>
      <c r="HQ28" s="136"/>
      <c r="HR28" s="130"/>
      <c r="HS28" s="137"/>
      <c r="HT28" s="114"/>
      <c r="HU28" s="132"/>
      <c r="HV28" s="133"/>
      <c r="HW28" s="134"/>
      <c r="HX28" s="133"/>
      <c r="HY28" s="135"/>
      <c r="HZ28" s="133"/>
      <c r="IA28" s="135"/>
      <c r="IB28" s="135"/>
      <c r="IC28" s="135"/>
      <c r="ID28" s="135"/>
      <c r="IE28" s="135"/>
      <c r="IF28" s="135"/>
      <c r="IG28" s="136"/>
      <c r="IH28" s="130"/>
      <c r="II28" s="137"/>
      <c r="IJ28" s="114"/>
      <c r="IK28" s="132"/>
      <c r="IL28" s="133"/>
      <c r="IM28" s="134"/>
      <c r="IN28" s="133"/>
      <c r="IO28" s="135"/>
      <c r="IP28" s="133"/>
      <c r="IQ28" s="135"/>
      <c r="IR28" s="135"/>
      <c r="IS28" s="135"/>
      <c r="IT28" s="135"/>
      <c r="IU28" s="135"/>
      <c r="IV28" s="135"/>
    </row>
    <row r="29" spans="1:256" ht="12.75" customHeight="1">
      <c r="A29" s="117">
        <v>18</v>
      </c>
      <c r="B29" s="62" t="s">
        <v>105</v>
      </c>
      <c r="C29" s="118" t="s">
        <v>136</v>
      </c>
      <c r="D29" s="10" t="s">
        <v>9</v>
      </c>
      <c r="E29" s="111">
        <f>E27</f>
        <v>142.08000000000001</v>
      </c>
      <c r="F29" s="71"/>
      <c r="G29" s="82"/>
      <c r="H29" s="71"/>
      <c r="I29" s="70"/>
      <c r="J29" s="71"/>
      <c r="K29" s="70"/>
      <c r="L29" s="70"/>
      <c r="M29" s="70"/>
      <c r="N29" s="70"/>
      <c r="O29" s="70"/>
      <c r="P29" s="119"/>
      <c r="Q29" s="310"/>
      <c r="R29" s="130"/>
      <c r="S29" s="137"/>
      <c r="T29" s="114"/>
      <c r="U29" s="132"/>
      <c r="V29" s="133"/>
      <c r="W29" s="134"/>
      <c r="X29" s="133"/>
      <c r="Y29" s="135"/>
      <c r="Z29" s="133"/>
      <c r="AA29" s="135"/>
      <c r="AB29" s="135"/>
      <c r="AC29" s="135"/>
      <c r="AD29" s="135"/>
      <c r="AE29" s="135"/>
      <c r="AF29" s="135"/>
      <c r="AG29" s="136"/>
      <c r="AH29" s="130"/>
      <c r="AI29" s="137"/>
      <c r="AJ29" s="114"/>
      <c r="AK29" s="132"/>
      <c r="AL29" s="133"/>
      <c r="AM29" s="134"/>
      <c r="AN29" s="133"/>
      <c r="AO29" s="135"/>
      <c r="AP29" s="133"/>
      <c r="AQ29" s="135"/>
      <c r="AR29" s="135"/>
      <c r="AS29" s="135"/>
      <c r="AT29" s="135"/>
      <c r="AU29" s="135"/>
      <c r="AV29" s="135"/>
      <c r="AW29" s="136"/>
      <c r="AX29" s="130"/>
      <c r="AY29" s="137"/>
      <c r="AZ29" s="114"/>
      <c r="BA29" s="132"/>
      <c r="BB29" s="133"/>
      <c r="BC29" s="134"/>
      <c r="BD29" s="133"/>
      <c r="BE29" s="135"/>
      <c r="BF29" s="133"/>
      <c r="BG29" s="135"/>
      <c r="BH29" s="135"/>
      <c r="BI29" s="135"/>
      <c r="BJ29" s="135"/>
      <c r="BK29" s="135"/>
      <c r="BL29" s="135"/>
      <c r="BM29" s="136"/>
      <c r="BN29" s="130"/>
      <c r="BO29" s="137"/>
      <c r="BP29" s="114"/>
      <c r="BQ29" s="132"/>
      <c r="BR29" s="133"/>
      <c r="BS29" s="134"/>
      <c r="BT29" s="133"/>
      <c r="BU29" s="135"/>
      <c r="BV29" s="133"/>
      <c r="BW29" s="135"/>
      <c r="BX29" s="135"/>
      <c r="BY29" s="135"/>
      <c r="BZ29" s="135"/>
      <c r="CA29" s="135"/>
      <c r="CB29" s="135"/>
      <c r="CC29" s="136"/>
      <c r="CD29" s="130"/>
      <c r="CE29" s="137"/>
      <c r="CF29" s="114"/>
      <c r="CG29" s="132"/>
      <c r="CH29" s="133"/>
      <c r="CI29" s="134"/>
      <c r="CJ29" s="133"/>
      <c r="CK29" s="135"/>
      <c r="CL29" s="133"/>
      <c r="CM29" s="135"/>
      <c r="CN29" s="135"/>
      <c r="CO29" s="135"/>
      <c r="CP29" s="135"/>
      <c r="CQ29" s="135"/>
      <c r="CR29" s="135"/>
      <c r="CS29" s="136"/>
      <c r="CT29" s="130"/>
      <c r="CU29" s="137"/>
      <c r="CV29" s="114"/>
      <c r="CW29" s="132"/>
      <c r="CX29" s="133"/>
      <c r="CY29" s="134"/>
      <c r="CZ29" s="133"/>
      <c r="DA29" s="135"/>
      <c r="DB29" s="133"/>
      <c r="DC29" s="135"/>
      <c r="DD29" s="135"/>
      <c r="DE29" s="135"/>
      <c r="DF29" s="135"/>
      <c r="DG29" s="135"/>
      <c r="DH29" s="135"/>
      <c r="DI29" s="136"/>
      <c r="DJ29" s="130"/>
      <c r="DK29" s="137"/>
      <c r="DL29" s="114"/>
      <c r="DM29" s="132"/>
      <c r="DN29" s="133"/>
      <c r="DO29" s="134"/>
      <c r="DP29" s="133"/>
      <c r="DQ29" s="135"/>
      <c r="DR29" s="133"/>
      <c r="DS29" s="135"/>
      <c r="DT29" s="135"/>
      <c r="DU29" s="135"/>
      <c r="DV29" s="135"/>
      <c r="DW29" s="135"/>
      <c r="DX29" s="135"/>
      <c r="DY29" s="136"/>
      <c r="DZ29" s="130"/>
      <c r="EA29" s="137"/>
      <c r="EB29" s="114"/>
      <c r="EC29" s="132"/>
      <c r="ED29" s="133"/>
      <c r="EE29" s="134"/>
      <c r="EF29" s="133"/>
      <c r="EG29" s="135"/>
      <c r="EH29" s="133"/>
      <c r="EI29" s="135"/>
      <c r="EJ29" s="135"/>
      <c r="EK29" s="135"/>
      <c r="EL29" s="135"/>
      <c r="EM29" s="135"/>
      <c r="EN29" s="135"/>
      <c r="EO29" s="136"/>
      <c r="EP29" s="130"/>
      <c r="EQ29" s="137"/>
      <c r="ER29" s="114"/>
      <c r="ES29" s="132"/>
      <c r="ET29" s="133"/>
      <c r="EU29" s="134"/>
      <c r="EV29" s="133"/>
      <c r="EW29" s="135"/>
      <c r="EX29" s="133"/>
      <c r="EY29" s="135"/>
      <c r="EZ29" s="135"/>
      <c r="FA29" s="135"/>
      <c r="FB29" s="135"/>
      <c r="FC29" s="135"/>
      <c r="FD29" s="135"/>
      <c r="FE29" s="136"/>
      <c r="FF29" s="130"/>
      <c r="FG29" s="137"/>
      <c r="FH29" s="114"/>
      <c r="FI29" s="132"/>
      <c r="FJ29" s="133"/>
      <c r="FK29" s="134"/>
      <c r="FL29" s="133"/>
      <c r="FM29" s="135"/>
      <c r="FN29" s="133"/>
      <c r="FO29" s="135"/>
      <c r="FP29" s="135"/>
      <c r="FQ29" s="135"/>
      <c r="FR29" s="135"/>
      <c r="FS29" s="135"/>
      <c r="FT29" s="135"/>
      <c r="FU29" s="136"/>
      <c r="FV29" s="130"/>
      <c r="FW29" s="137"/>
      <c r="FX29" s="114"/>
      <c r="FY29" s="132"/>
      <c r="FZ29" s="133"/>
      <c r="GA29" s="134"/>
      <c r="GB29" s="133"/>
      <c r="GC29" s="135"/>
      <c r="GD29" s="133"/>
      <c r="GE29" s="135"/>
      <c r="GF29" s="135"/>
      <c r="GG29" s="135"/>
      <c r="GH29" s="135"/>
      <c r="GI29" s="135"/>
      <c r="GJ29" s="135"/>
      <c r="GK29" s="136"/>
      <c r="GL29" s="130"/>
      <c r="GM29" s="137"/>
      <c r="GN29" s="114"/>
      <c r="GO29" s="132"/>
      <c r="GP29" s="133"/>
      <c r="GQ29" s="134"/>
      <c r="GR29" s="133"/>
      <c r="GS29" s="135"/>
      <c r="GT29" s="133"/>
      <c r="GU29" s="135"/>
      <c r="GV29" s="135"/>
      <c r="GW29" s="135"/>
      <c r="GX29" s="135"/>
      <c r="GY29" s="135"/>
      <c r="GZ29" s="135"/>
      <c r="HA29" s="136"/>
      <c r="HB29" s="130"/>
      <c r="HC29" s="137"/>
      <c r="HD29" s="114"/>
      <c r="HE29" s="132"/>
      <c r="HF29" s="133"/>
      <c r="HG29" s="134"/>
      <c r="HH29" s="133"/>
      <c r="HI29" s="135"/>
      <c r="HJ29" s="133"/>
      <c r="HK29" s="135"/>
      <c r="HL29" s="135"/>
      <c r="HM29" s="135"/>
      <c r="HN29" s="135"/>
      <c r="HO29" s="135"/>
      <c r="HP29" s="135"/>
      <c r="HQ29" s="136"/>
      <c r="HR29" s="130"/>
      <c r="HS29" s="137"/>
      <c r="HT29" s="114"/>
      <c r="HU29" s="132"/>
      <c r="HV29" s="133"/>
      <c r="HW29" s="134"/>
      <c r="HX29" s="133"/>
      <c r="HY29" s="135"/>
      <c r="HZ29" s="133"/>
      <c r="IA29" s="135"/>
      <c r="IB29" s="135"/>
      <c r="IC29" s="135"/>
      <c r="ID29" s="135"/>
      <c r="IE29" s="135"/>
      <c r="IF29" s="135"/>
      <c r="IG29" s="136"/>
      <c r="IH29" s="130"/>
      <c r="II29" s="137"/>
      <c r="IJ29" s="114"/>
      <c r="IK29" s="132"/>
      <c r="IL29" s="133"/>
      <c r="IM29" s="134"/>
      <c r="IN29" s="133"/>
      <c r="IO29" s="135"/>
      <c r="IP29" s="133"/>
      <c r="IQ29" s="135"/>
      <c r="IR29" s="135"/>
      <c r="IS29" s="135"/>
      <c r="IT29" s="135"/>
      <c r="IU29" s="135"/>
      <c r="IV29" s="135"/>
    </row>
    <row r="30" spans="1:256" ht="15" thickBot="1">
      <c r="A30" s="126"/>
      <c r="B30" s="127"/>
      <c r="C30" s="390" t="s">
        <v>97</v>
      </c>
      <c r="D30" s="390"/>
      <c r="E30" s="390"/>
      <c r="F30" s="390"/>
      <c r="G30" s="390"/>
      <c r="H30" s="390"/>
      <c r="I30" s="390"/>
      <c r="J30" s="390"/>
      <c r="K30" s="390"/>
      <c r="L30" s="149">
        <f>SUM(L12:L29)</f>
        <v>0</v>
      </c>
      <c r="M30" s="149">
        <f>SUM(M12:M29)</f>
        <v>0</v>
      </c>
      <c r="N30" s="149">
        <f>SUM(N12:N29)</f>
        <v>0</v>
      </c>
      <c r="O30" s="149">
        <f>SUM(O12:O29)</f>
        <v>0</v>
      </c>
      <c r="P30" s="150">
        <f>SUM(P12:P29)</f>
        <v>0</v>
      </c>
      <c r="Q30" s="309"/>
    </row>
    <row r="31" spans="1:256" ht="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59"/>
      <c r="R31" s="57"/>
    </row>
    <row r="32" spans="1:256">
      <c r="A32" s="6"/>
      <c r="B32" s="6"/>
      <c r="C32" s="5" t="s">
        <v>21</v>
      </c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4"/>
    </row>
    <row r="33" spans="1:16">
      <c r="A33" s="5"/>
      <c r="B33" s="5"/>
      <c r="C33" s="3"/>
      <c r="D33" s="392" t="s">
        <v>22</v>
      </c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4"/>
    </row>
    <row r="34" spans="1:16">
      <c r="A34" s="3"/>
      <c r="B34" s="3"/>
      <c r="C34" s="5" t="s">
        <v>23</v>
      </c>
      <c r="D34" s="354"/>
      <c r="E34" s="354"/>
      <c r="F34" s="354"/>
      <c r="G34" s="3"/>
      <c r="H34" s="3"/>
      <c r="I34" s="3"/>
      <c r="J34" s="3"/>
      <c r="K34" s="3"/>
      <c r="L34" s="3"/>
      <c r="M34" s="3"/>
      <c r="N34" s="3"/>
      <c r="O34" s="3"/>
      <c r="P34" s="4"/>
    </row>
    <row r="35" spans="1:16">
      <c r="A35" s="3"/>
      <c r="B35" s="3"/>
      <c r="C35" s="5"/>
      <c r="D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</sheetData>
  <mergeCells count="22">
    <mergeCell ref="A7:H7"/>
    <mergeCell ref="A6:D6"/>
    <mergeCell ref="A5:K5"/>
    <mergeCell ref="L7:N7"/>
    <mergeCell ref="O7:P7"/>
    <mergeCell ref="L1:O1"/>
    <mergeCell ref="A2:C2"/>
    <mergeCell ref="L2:O2"/>
    <mergeCell ref="A3:C3"/>
    <mergeCell ref="L3:O3"/>
    <mergeCell ref="A9:A10"/>
    <mergeCell ref="B9:B10"/>
    <mergeCell ref="E9:E10"/>
    <mergeCell ref="F9:K9"/>
    <mergeCell ref="A8:J8"/>
    <mergeCell ref="L9:P9"/>
    <mergeCell ref="D34:F34"/>
    <mergeCell ref="C30:K30"/>
    <mergeCell ref="C9:C10"/>
    <mergeCell ref="D9:D10"/>
    <mergeCell ref="D32:O32"/>
    <mergeCell ref="D33:O33"/>
  </mergeCells>
  <conditionalFormatting sqref="D12:D30">
    <cfRule type="cellIs" dxfId="145" priority="1" stopIfTrue="1" operator="equal">
      <formula>0</formula>
    </cfRule>
    <cfRule type="expression" dxfId="144" priority="2" stopIfTrue="1">
      <formula>#N/A</formula>
    </cfRule>
  </conditionalFormatting>
  <conditionalFormatting sqref="T22:T29 AJ22:AJ29 AZ22:AZ29 BP22:BP29 CF22:CF29 CV22:CV29 DL22:DL29 EB22:EB29 ER22:ER29 FH22:FH29 FX22:FX29 GN22:GN29 HD22:HD29 HT22:HT29 IJ22:IJ29">
    <cfRule type="cellIs" dxfId="143" priority="13" stopIfTrue="1" operator="equal">
      <formula>0</formula>
    </cfRule>
    <cfRule type="expression" dxfId="142" priority="14" stopIfTrue="1">
      <formula>#N/A</formula>
    </cfRule>
  </conditionalFormatting>
  <hyperlinks>
    <hyperlink ref="L1" r:id="rId1" tooltip="Atvērt citā formātā" display="https://likumi.lv/wwwraksti/2017/103/BILDES/N_239/P5.DOCX" xr:uid="{4FE23CBC-2B3D-4DBE-B1DA-C79EEDC2BFAE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258E-33FF-4C17-A467-1D7CA3ECF2D2}">
  <dimension ref="A1:V153"/>
  <sheetViews>
    <sheetView zoomScale="130" zoomScaleNormal="130" workbookViewId="0">
      <selection activeCell="J24" sqref="J24"/>
    </sheetView>
  </sheetViews>
  <sheetFormatPr defaultColWidth="9.140625" defaultRowHeight="14.25"/>
  <cols>
    <col min="1" max="1" width="5.85546875" style="1" customWidth="1"/>
    <col min="2" max="2" width="8.85546875" style="1" customWidth="1"/>
    <col min="3" max="3" width="40.42578125" style="1" customWidth="1"/>
    <col min="4" max="4" width="5.5703125" style="1" customWidth="1"/>
    <col min="5" max="5" width="6.5703125" style="1" customWidth="1"/>
    <col min="6" max="6" width="6.85546875" style="1" customWidth="1"/>
    <col min="7" max="7" width="7.85546875" style="1" customWidth="1"/>
    <col min="8" max="8" width="8.140625" style="1" customWidth="1"/>
    <col min="9" max="9" width="8.85546875" style="1" customWidth="1"/>
    <col min="10" max="10" width="9.28515625" style="1" customWidth="1"/>
    <col min="11" max="11" width="8.42578125" style="1" customWidth="1"/>
    <col min="12" max="15" width="9.140625" style="1"/>
    <col min="16" max="16" width="9.85546875" style="1" bestFit="1" customWidth="1"/>
    <col min="17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11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107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535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>
        <f>P46</f>
        <v>0</v>
      </c>
      <c r="P7" s="363"/>
    </row>
    <row r="8" spans="1:16" ht="15" thickBot="1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</row>
    <row r="10" spans="1:16" s="7" customFormat="1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s="7" customFormat="1" ht="13.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28">
        <v>6</v>
      </c>
      <c r="G11" s="128">
        <v>7</v>
      </c>
      <c r="H11" s="128">
        <v>8</v>
      </c>
      <c r="I11" s="128">
        <v>9</v>
      </c>
      <c r="J11" s="128">
        <v>10</v>
      </c>
      <c r="K11" s="128">
        <v>11</v>
      </c>
      <c r="L11" s="128">
        <v>12</v>
      </c>
      <c r="M11" s="128">
        <v>13</v>
      </c>
      <c r="N11" s="128">
        <v>14</v>
      </c>
      <c r="O11" s="128">
        <v>15</v>
      </c>
      <c r="P11" s="129">
        <v>16</v>
      </c>
    </row>
    <row r="12" spans="1:16" s="7" customFormat="1" ht="12.75">
      <c r="A12" s="157"/>
      <c r="B12" s="158"/>
      <c r="C12" s="158" t="s">
        <v>101</v>
      </c>
      <c r="D12" s="158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60"/>
    </row>
    <row r="13" spans="1:16" s="7" customFormat="1" ht="12.75">
      <c r="A13" s="147">
        <v>1</v>
      </c>
      <c r="B13" s="64" t="s">
        <v>8</v>
      </c>
      <c r="C13" s="86" t="s">
        <v>81</v>
      </c>
      <c r="D13" s="87" t="s">
        <v>9</v>
      </c>
      <c r="E13" s="95">
        <v>43.3</v>
      </c>
      <c r="F13" s="88"/>
      <c r="G13" s="89"/>
      <c r="H13" s="88"/>
      <c r="I13" s="88"/>
      <c r="J13" s="66"/>
      <c r="K13" s="89"/>
      <c r="L13" s="89"/>
      <c r="M13" s="89"/>
      <c r="N13" s="89"/>
      <c r="O13" s="89"/>
      <c r="P13" s="161"/>
    </row>
    <row r="14" spans="1:16" s="7" customFormat="1" ht="15.75">
      <c r="A14" s="147">
        <v>2</v>
      </c>
      <c r="B14" s="64" t="s">
        <v>6</v>
      </c>
      <c r="C14" s="112" t="s">
        <v>80</v>
      </c>
      <c r="D14" s="80" t="s">
        <v>66</v>
      </c>
      <c r="E14" s="89">
        <v>30.6</v>
      </c>
      <c r="F14" s="89"/>
      <c r="G14" s="89"/>
      <c r="H14" s="89"/>
      <c r="I14" s="89"/>
      <c r="J14" s="66"/>
      <c r="K14" s="89"/>
      <c r="L14" s="89"/>
      <c r="M14" s="89"/>
      <c r="N14" s="89"/>
      <c r="O14" s="89"/>
      <c r="P14" s="161"/>
    </row>
    <row r="15" spans="1:16" s="7" customFormat="1" ht="15.75">
      <c r="A15" s="147">
        <v>3</v>
      </c>
      <c r="B15" s="64" t="s">
        <v>6</v>
      </c>
      <c r="C15" s="90" t="s">
        <v>74</v>
      </c>
      <c r="D15" s="80" t="s">
        <v>66</v>
      </c>
      <c r="E15" s="89">
        <v>30.6</v>
      </c>
      <c r="F15" s="89"/>
      <c r="G15" s="89"/>
      <c r="H15" s="89"/>
      <c r="I15" s="89"/>
      <c r="J15" s="66"/>
      <c r="K15" s="89"/>
      <c r="L15" s="89"/>
      <c r="M15" s="89"/>
      <c r="N15" s="89"/>
      <c r="O15" s="89"/>
      <c r="P15" s="161"/>
    </row>
    <row r="16" spans="1:16" s="7" customFormat="1" ht="38.25">
      <c r="A16" s="147">
        <v>4</v>
      </c>
      <c r="B16" s="64" t="s">
        <v>6</v>
      </c>
      <c r="C16" s="90" t="s">
        <v>82</v>
      </c>
      <c r="D16" s="80" t="s">
        <v>66</v>
      </c>
      <c r="E16" s="89">
        <f>5*0.2</f>
        <v>1</v>
      </c>
      <c r="F16" s="419"/>
      <c r="G16" s="89"/>
      <c r="H16" s="89"/>
      <c r="I16" s="89"/>
      <c r="J16" s="66"/>
      <c r="K16" s="89"/>
      <c r="L16" s="89"/>
      <c r="M16" s="89"/>
      <c r="N16" s="89"/>
      <c r="O16" s="89"/>
      <c r="P16" s="161"/>
    </row>
    <row r="17" spans="1:22" s="7" customFormat="1" ht="25.5">
      <c r="A17" s="147">
        <v>5</v>
      </c>
      <c r="B17" s="64" t="s">
        <v>6</v>
      </c>
      <c r="C17" s="91" t="s">
        <v>83</v>
      </c>
      <c r="D17" s="80" t="s">
        <v>66</v>
      </c>
      <c r="E17" s="77">
        <f>3.5*0.15</f>
        <v>0.53</v>
      </c>
      <c r="F17" s="71"/>
      <c r="G17" s="71"/>
      <c r="H17" s="89"/>
      <c r="I17" s="70"/>
      <c r="J17" s="66"/>
      <c r="K17" s="89"/>
      <c r="L17" s="89"/>
      <c r="M17" s="89"/>
      <c r="N17" s="89"/>
      <c r="O17" s="89"/>
      <c r="P17" s="161"/>
    </row>
    <row r="18" spans="1:22" s="7" customFormat="1" ht="14.25" customHeight="1">
      <c r="A18" s="147">
        <v>6</v>
      </c>
      <c r="B18" s="64" t="s">
        <v>84</v>
      </c>
      <c r="C18" s="92" t="s">
        <v>75</v>
      </c>
      <c r="D18" s="87" t="s">
        <v>9</v>
      </c>
      <c r="E18" s="77">
        <v>2.85</v>
      </c>
      <c r="F18" s="71"/>
      <c r="G18" s="71"/>
      <c r="H18" s="89"/>
      <c r="I18" s="70"/>
      <c r="J18" s="66"/>
      <c r="K18" s="89"/>
      <c r="L18" s="89"/>
      <c r="M18" s="89"/>
      <c r="N18" s="89"/>
      <c r="O18" s="89"/>
      <c r="P18" s="161"/>
    </row>
    <row r="19" spans="1:22" s="7" customFormat="1" ht="12.75">
      <c r="A19" s="147">
        <v>7</v>
      </c>
      <c r="B19" s="64" t="s">
        <v>84</v>
      </c>
      <c r="C19" s="92" t="s">
        <v>76</v>
      </c>
      <c r="D19" s="87" t="s">
        <v>9</v>
      </c>
      <c r="E19" s="77">
        <f>E18*2</f>
        <v>5.7</v>
      </c>
      <c r="F19" s="71"/>
      <c r="G19" s="71"/>
      <c r="H19" s="89"/>
      <c r="I19" s="70"/>
      <c r="J19" s="66"/>
      <c r="K19" s="89"/>
      <c r="L19" s="89"/>
      <c r="M19" s="89"/>
      <c r="N19" s="89"/>
      <c r="O19" s="89"/>
      <c r="P19" s="161"/>
    </row>
    <row r="20" spans="1:22" s="7" customFormat="1" ht="15.75">
      <c r="A20" s="147">
        <v>8</v>
      </c>
      <c r="B20" s="64" t="s">
        <v>84</v>
      </c>
      <c r="C20" s="75" t="s">
        <v>77</v>
      </c>
      <c r="D20" s="80" t="s">
        <v>66</v>
      </c>
      <c r="E20" s="77">
        <f>0.9*0.9*0.3*3</f>
        <v>0.73</v>
      </c>
      <c r="F20" s="71"/>
      <c r="G20" s="71"/>
      <c r="H20" s="89"/>
      <c r="I20" s="70"/>
      <c r="J20" s="66"/>
      <c r="K20" s="89"/>
      <c r="L20" s="89"/>
      <c r="M20" s="89"/>
      <c r="N20" s="89"/>
      <c r="O20" s="89"/>
      <c r="P20" s="161"/>
    </row>
    <row r="21" spans="1:22" s="7" customFormat="1" ht="12.75">
      <c r="A21" s="147">
        <v>9</v>
      </c>
      <c r="B21" s="64" t="s">
        <v>84</v>
      </c>
      <c r="C21" s="92" t="s">
        <v>78</v>
      </c>
      <c r="D21" s="87" t="s">
        <v>9</v>
      </c>
      <c r="E21" s="77">
        <v>9.5</v>
      </c>
      <c r="F21" s="71"/>
      <c r="G21" s="71"/>
      <c r="H21" s="89"/>
      <c r="I21" s="70"/>
      <c r="J21" s="66"/>
      <c r="K21" s="89"/>
      <c r="L21" s="89"/>
      <c r="M21" s="89"/>
      <c r="N21" s="89"/>
      <c r="O21" s="89"/>
      <c r="P21" s="161"/>
    </row>
    <row r="22" spans="1:22" s="7" customFormat="1" ht="12.75">
      <c r="A22" s="147">
        <v>10</v>
      </c>
      <c r="B22" s="64" t="s">
        <v>84</v>
      </c>
      <c r="C22" s="92" t="s">
        <v>87</v>
      </c>
      <c r="D22" s="87" t="s">
        <v>9</v>
      </c>
      <c r="E22" s="77">
        <f>E21*2</f>
        <v>19</v>
      </c>
      <c r="F22" s="71"/>
      <c r="G22" s="71"/>
      <c r="H22" s="89"/>
      <c r="I22" s="70"/>
      <c r="J22" s="66"/>
      <c r="K22" s="89"/>
      <c r="L22" s="89"/>
      <c r="M22" s="89"/>
      <c r="N22" s="89"/>
      <c r="O22" s="89"/>
      <c r="P22" s="161"/>
    </row>
    <row r="23" spans="1:22" s="7" customFormat="1" ht="15.75">
      <c r="A23" s="147">
        <v>11</v>
      </c>
      <c r="B23" s="64" t="s">
        <v>84</v>
      </c>
      <c r="C23" s="75" t="s">
        <v>86</v>
      </c>
      <c r="D23" s="80" t="s">
        <v>66</v>
      </c>
      <c r="E23" s="77">
        <f>0.4*0.4*1*3</f>
        <v>0.48</v>
      </c>
      <c r="F23" s="71"/>
      <c r="G23" s="71"/>
      <c r="H23" s="89"/>
      <c r="I23" s="70"/>
      <c r="J23" s="66"/>
      <c r="K23" s="89"/>
      <c r="L23" s="89"/>
      <c r="M23" s="89"/>
      <c r="N23" s="89"/>
      <c r="O23" s="89"/>
      <c r="P23" s="161"/>
    </row>
    <row r="24" spans="1:22" s="7" customFormat="1" ht="15.75">
      <c r="A24" s="147">
        <v>12</v>
      </c>
      <c r="B24" s="64" t="s">
        <v>6</v>
      </c>
      <c r="C24" s="93" t="s">
        <v>79</v>
      </c>
      <c r="D24" s="80" t="s">
        <v>66</v>
      </c>
      <c r="E24" s="66">
        <f>E14-E16-E17-E20-E23</f>
        <v>27.86</v>
      </c>
      <c r="F24" s="94"/>
      <c r="G24" s="81"/>
      <c r="H24" s="89"/>
      <c r="I24" s="11"/>
      <c r="J24" s="66"/>
      <c r="K24" s="89"/>
      <c r="L24" s="89"/>
      <c r="M24" s="89"/>
      <c r="N24" s="89"/>
      <c r="O24" s="89"/>
      <c r="P24" s="161"/>
    </row>
    <row r="25" spans="1:22" s="7" customFormat="1" ht="13.5" thickBot="1">
      <c r="A25" s="147"/>
      <c r="B25" s="64"/>
      <c r="C25" s="97" t="s">
        <v>98</v>
      </c>
      <c r="D25" s="80"/>
      <c r="E25" s="96"/>
      <c r="F25" s="94"/>
      <c r="G25" s="81"/>
      <c r="H25" s="89"/>
      <c r="I25" s="11"/>
      <c r="J25" s="66"/>
      <c r="K25" s="89"/>
      <c r="L25" s="89"/>
      <c r="M25" s="89"/>
      <c r="N25" s="89"/>
      <c r="O25" s="89"/>
      <c r="P25" s="161"/>
    </row>
    <row r="26" spans="1:22" s="7" customFormat="1" ht="25.5">
      <c r="A26" s="147">
        <v>13</v>
      </c>
      <c r="B26" s="63" t="s">
        <v>65</v>
      </c>
      <c r="C26" s="75" t="s">
        <v>88</v>
      </c>
      <c r="D26" s="76" t="s">
        <v>44</v>
      </c>
      <c r="E26" s="308">
        <v>3</v>
      </c>
      <c r="F26" s="71"/>
      <c r="G26" s="70"/>
      <c r="H26" s="70"/>
      <c r="I26" s="70"/>
      <c r="J26" s="66"/>
      <c r="K26" s="70"/>
      <c r="L26" s="70"/>
      <c r="M26" s="70"/>
      <c r="N26" s="70"/>
      <c r="O26" s="70"/>
      <c r="P26" s="119"/>
    </row>
    <row r="27" spans="1:22" s="7" customFormat="1" ht="25.5">
      <c r="A27" s="147">
        <v>14</v>
      </c>
      <c r="B27" s="63" t="s">
        <v>65</v>
      </c>
      <c r="C27" s="75" t="s">
        <v>64</v>
      </c>
      <c r="D27" s="10" t="s">
        <v>9</v>
      </c>
      <c r="E27" s="78">
        <f>0.4*3.9*3+0.28*0.28*6</f>
        <v>5.15</v>
      </c>
      <c r="F27" s="71"/>
      <c r="G27" s="70"/>
      <c r="H27" s="70"/>
      <c r="I27" s="70"/>
      <c r="J27" s="66"/>
      <c r="K27" s="70"/>
      <c r="L27" s="70"/>
      <c r="M27" s="70"/>
      <c r="N27" s="70"/>
      <c r="O27" s="70"/>
      <c r="P27" s="119"/>
    </row>
    <row r="28" spans="1:22" s="7" customFormat="1" ht="12.75">
      <c r="A28" s="147"/>
      <c r="B28" s="64"/>
      <c r="C28" s="97" t="s">
        <v>99</v>
      </c>
      <c r="D28" s="80"/>
      <c r="E28" s="96"/>
      <c r="F28" s="94"/>
      <c r="G28" s="81"/>
      <c r="H28" s="89"/>
      <c r="I28" s="11"/>
      <c r="J28" s="66"/>
      <c r="K28" s="89"/>
      <c r="L28" s="89"/>
      <c r="M28" s="89"/>
      <c r="N28" s="89"/>
      <c r="O28" s="89"/>
      <c r="P28" s="161"/>
    </row>
    <row r="29" spans="1:22" s="105" customFormat="1" ht="12.75">
      <c r="A29" s="117">
        <v>1</v>
      </c>
      <c r="B29" s="64" t="s">
        <v>8</v>
      </c>
      <c r="C29" s="110" t="s">
        <v>100</v>
      </c>
      <c r="D29" s="10" t="s">
        <v>9</v>
      </c>
      <c r="E29" s="111">
        <v>43.3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162"/>
      <c r="Q29" s="101"/>
      <c r="R29" s="102"/>
      <c r="S29" s="103"/>
      <c r="T29" s="104"/>
      <c r="U29" s="104"/>
      <c r="V29" s="103"/>
    </row>
    <row r="30" spans="1:22" ht="15.75">
      <c r="A30" s="147">
        <v>3</v>
      </c>
      <c r="B30" s="64" t="s">
        <v>67</v>
      </c>
      <c r="C30" s="51" t="s">
        <v>102</v>
      </c>
      <c r="D30" s="80" t="s">
        <v>66</v>
      </c>
      <c r="E30" s="77">
        <v>0.4</v>
      </c>
      <c r="F30" s="66"/>
      <c r="G30" s="81"/>
      <c r="H30" s="66"/>
      <c r="I30" s="70"/>
      <c r="J30" s="66"/>
      <c r="K30" s="66"/>
      <c r="L30" s="66"/>
      <c r="M30" s="66"/>
      <c r="N30" s="66"/>
      <c r="O30" s="66"/>
      <c r="P30" s="156"/>
    </row>
    <row r="31" spans="1:22" ht="15.75">
      <c r="A31" s="147">
        <v>3</v>
      </c>
      <c r="B31" s="64" t="s">
        <v>67</v>
      </c>
      <c r="C31" s="51" t="s">
        <v>103</v>
      </c>
      <c r="D31" s="80" t="s">
        <v>66</v>
      </c>
      <c r="E31" s="77">
        <v>0.3</v>
      </c>
      <c r="F31" s="66"/>
      <c r="G31" s="81"/>
      <c r="H31" s="66"/>
      <c r="I31" s="70"/>
      <c r="J31" s="66"/>
      <c r="K31" s="66"/>
      <c r="L31" s="66"/>
      <c r="M31" s="66"/>
      <c r="N31" s="66"/>
      <c r="O31" s="66"/>
      <c r="P31" s="156"/>
    </row>
    <row r="32" spans="1:22" ht="15.75">
      <c r="A32" s="147">
        <v>4</v>
      </c>
      <c r="B32" s="64" t="s">
        <v>67</v>
      </c>
      <c r="C32" s="51" t="s">
        <v>104</v>
      </c>
      <c r="D32" s="80" t="s">
        <v>66</v>
      </c>
      <c r="E32" s="77">
        <v>0.4</v>
      </c>
      <c r="F32" s="66"/>
      <c r="G32" s="81"/>
      <c r="H32" s="66"/>
      <c r="I32" s="70"/>
      <c r="J32" s="66"/>
      <c r="K32" s="66"/>
      <c r="L32" s="66"/>
      <c r="M32" s="66"/>
      <c r="N32" s="66"/>
      <c r="O32" s="66"/>
      <c r="P32" s="156"/>
    </row>
    <row r="33" spans="1:22" s="7" customFormat="1" ht="12.75">
      <c r="A33" s="147"/>
      <c r="B33" s="10"/>
      <c r="C33" s="68" t="s">
        <v>89</v>
      </c>
      <c r="D33" s="10"/>
      <c r="E33" s="73"/>
      <c r="F33" s="69"/>
      <c r="G33" s="69"/>
      <c r="H33" s="69"/>
      <c r="I33" s="69"/>
      <c r="J33" s="66"/>
      <c r="K33" s="69"/>
      <c r="L33" s="69"/>
      <c r="M33" s="69"/>
      <c r="N33" s="69"/>
      <c r="O33" s="69"/>
      <c r="P33" s="163"/>
    </row>
    <row r="34" spans="1:22" s="105" customFormat="1" ht="12.75">
      <c r="A34" s="164">
        <v>15</v>
      </c>
      <c r="B34" s="130" t="s">
        <v>84</v>
      </c>
      <c r="C34" s="98" t="s">
        <v>90</v>
      </c>
      <c r="D34" s="99" t="s">
        <v>63</v>
      </c>
      <c r="E34" s="100">
        <v>6</v>
      </c>
      <c r="F34" s="71"/>
      <c r="G34" s="81"/>
      <c r="H34" s="11"/>
      <c r="I34" s="66"/>
      <c r="J34" s="66"/>
      <c r="K34" s="66"/>
      <c r="L34" s="66"/>
      <c r="M34" s="66"/>
      <c r="N34" s="66"/>
      <c r="O34" s="66"/>
      <c r="P34" s="156"/>
      <c r="Q34" s="101"/>
      <c r="R34" s="102"/>
      <c r="S34" s="103"/>
      <c r="T34" s="104"/>
      <c r="U34" s="104"/>
      <c r="V34" s="103"/>
    </row>
    <row r="35" spans="1:22" s="105" customFormat="1" ht="15.75">
      <c r="A35" s="164">
        <v>16</v>
      </c>
      <c r="B35" s="64" t="s">
        <v>8</v>
      </c>
      <c r="C35" s="98" t="s">
        <v>95</v>
      </c>
      <c r="D35" s="99" t="s">
        <v>92</v>
      </c>
      <c r="E35" s="100">
        <f>0.5*2.3*1*2</f>
        <v>2.2999999999999998</v>
      </c>
      <c r="F35" s="71"/>
      <c r="G35" s="81"/>
      <c r="H35" s="11"/>
      <c r="I35" s="66"/>
      <c r="J35" s="66"/>
      <c r="K35" s="66"/>
      <c r="L35" s="66"/>
      <c r="M35" s="66"/>
      <c r="N35" s="66"/>
      <c r="O35" s="66"/>
      <c r="P35" s="156"/>
      <c r="Q35" s="101"/>
      <c r="R35" s="102"/>
      <c r="S35" s="103"/>
      <c r="T35" s="104"/>
      <c r="U35" s="104"/>
      <c r="V35" s="103"/>
    </row>
    <row r="36" spans="1:22" s="7" customFormat="1" ht="12.75">
      <c r="A36" s="165">
        <v>17</v>
      </c>
      <c r="B36" s="130" t="s">
        <v>105</v>
      </c>
      <c r="C36" s="92" t="s">
        <v>91</v>
      </c>
      <c r="D36" s="10" t="s">
        <v>9</v>
      </c>
      <c r="E36" s="77">
        <f>0.5*(2.5+2.5+1.2)*2</f>
        <v>6.2</v>
      </c>
      <c r="F36" s="71"/>
      <c r="G36" s="70"/>
      <c r="H36" s="81"/>
      <c r="I36" s="71"/>
      <c r="J36" s="66"/>
      <c r="K36" s="66"/>
      <c r="L36" s="66"/>
      <c r="M36" s="66"/>
      <c r="N36" s="66"/>
      <c r="O36" s="66"/>
      <c r="P36" s="156"/>
    </row>
    <row r="37" spans="1:22" s="105" customFormat="1" ht="12.75">
      <c r="A37" s="164">
        <v>18</v>
      </c>
      <c r="B37" s="130" t="s">
        <v>84</v>
      </c>
      <c r="C37" s="98" t="s">
        <v>93</v>
      </c>
      <c r="D37" s="99" t="s">
        <v>63</v>
      </c>
      <c r="E37" s="100">
        <v>3.4</v>
      </c>
      <c r="F37" s="71"/>
      <c r="G37" s="81"/>
      <c r="H37" s="11"/>
      <c r="I37" s="66"/>
      <c r="J37" s="66"/>
      <c r="K37" s="66"/>
      <c r="L37" s="66"/>
      <c r="M37" s="66"/>
      <c r="N37" s="66"/>
      <c r="O37" s="66"/>
      <c r="P37" s="156"/>
      <c r="Q37" s="101"/>
      <c r="R37" s="102"/>
      <c r="S37" s="103"/>
      <c r="T37" s="104"/>
      <c r="U37" s="104"/>
      <c r="V37" s="103"/>
    </row>
    <row r="38" spans="1:22" s="105" customFormat="1" ht="15.75">
      <c r="A38" s="164">
        <v>19</v>
      </c>
      <c r="B38" s="64" t="s">
        <v>8</v>
      </c>
      <c r="C38" s="98" t="s">
        <v>95</v>
      </c>
      <c r="D38" s="99" t="s">
        <v>92</v>
      </c>
      <c r="E38" s="100">
        <f>0.5*2.3*1.2</f>
        <v>1.38</v>
      </c>
      <c r="F38" s="71"/>
      <c r="G38" s="81"/>
      <c r="H38" s="11"/>
      <c r="I38" s="66"/>
      <c r="J38" s="66"/>
      <c r="K38" s="66"/>
      <c r="L38" s="66"/>
      <c r="M38" s="66"/>
      <c r="N38" s="66"/>
      <c r="O38" s="66"/>
      <c r="P38" s="156"/>
      <c r="Q38" s="101"/>
      <c r="R38" s="102"/>
      <c r="S38" s="103"/>
      <c r="T38" s="104"/>
      <c r="U38" s="104"/>
      <c r="V38" s="103"/>
    </row>
    <row r="39" spans="1:22" s="7" customFormat="1" ht="12.75">
      <c r="A39" s="165">
        <v>20</v>
      </c>
      <c r="B39" s="130" t="s">
        <v>105</v>
      </c>
      <c r="C39" s="92" t="s">
        <v>91</v>
      </c>
      <c r="D39" s="10" t="s">
        <v>9</v>
      </c>
      <c r="E39" s="77">
        <f>0.5*(2.5+2.5+1.4)</f>
        <v>3.2</v>
      </c>
      <c r="F39" s="71"/>
      <c r="G39" s="70"/>
      <c r="H39" s="81"/>
      <c r="I39" s="71"/>
      <c r="J39" s="11"/>
      <c r="K39" s="66"/>
      <c r="L39" s="66"/>
      <c r="M39" s="66"/>
      <c r="N39" s="66"/>
      <c r="O39" s="66"/>
      <c r="P39" s="156"/>
    </row>
    <row r="40" spans="1:22" s="105" customFormat="1" ht="12.75">
      <c r="A40" s="164">
        <v>21</v>
      </c>
      <c r="B40" s="130" t="s">
        <v>84</v>
      </c>
      <c r="C40" s="98" t="s">
        <v>94</v>
      </c>
      <c r="D40" s="99" t="s">
        <v>63</v>
      </c>
      <c r="E40" s="100">
        <v>7</v>
      </c>
      <c r="F40" s="71"/>
      <c r="G40" s="81"/>
      <c r="H40" s="11"/>
      <c r="I40" s="66"/>
      <c r="J40" s="66"/>
      <c r="K40" s="66"/>
      <c r="L40" s="66"/>
      <c r="M40" s="66"/>
      <c r="N40" s="66"/>
      <c r="O40" s="66"/>
      <c r="P40" s="156"/>
      <c r="Q40" s="101"/>
      <c r="R40" s="102"/>
      <c r="S40" s="103"/>
      <c r="T40" s="104"/>
      <c r="U40" s="104"/>
      <c r="V40" s="103"/>
    </row>
    <row r="41" spans="1:22" s="105" customFormat="1" ht="15.75">
      <c r="A41" s="164">
        <v>22</v>
      </c>
      <c r="B41" s="64" t="s">
        <v>8</v>
      </c>
      <c r="C41" s="98" t="s">
        <v>96</v>
      </c>
      <c r="D41" s="99" t="s">
        <v>92</v>
      </c>
      <c r="E41" s="100">
        <f>0.5*3.5*2.3</f>
        <v>4.03</v>
      </c>
      <c r="F41" s="71"/>
      <c r="G41" s="81"/>
      <c r="H41" s="11"/>
      <c r="I41" s="66"/>
      <c r="J41" s="66"/>
      <c r="K41" s="66"/>
      <c r="L41" s="66"/>
      <c r="M41" s="66"/>
      <c r="N41" s="66"/>
      <c r="O41" s="66"/>
      <c r="P41" s="156"/>
      <c r="Q41" s="101"/>
      <c r="R41" s="102"/>
      <c r="S41" s="103"/>
      <c r="T41" s="104"/>
      <c r="U41" s="104"/>
      <c r="V41" s="103"/>
    </row>
    <row r="42" spans="1:22" s="7" customFormat="1" ht="12.75">
      <c r="A42" s="165">
        <v>23</v>
      </c>
      <c r="B42" s="130" t="s">
        <v>105</v>
      </c>
      <c r="C42" s="92" t="s">
        <v>91</v>
      </c>
      <c r="D42" s="10" t="s">
        <v>9</v>
      </c>
      <c r="E42" s="77">
        <f>0.5*(2.5+2.5+3.9)</f>
        <v>4.45</v>
      </c>
      <c r="F42" s="71"/>
      <c r="G42" s="70"/>
      <c r="H42" s="81"/>
      <c r="I42" s="71"/>
      <c r="J42" s="11"/>
      <c r="K42" s="66"/>
      <c r="L42" s="66"/>
      <c r="M42" s="66"/>
      <c r="N42" s="66"/>
      <c r="O42" s="66"/>
      <c r="P42" s="156"/>
    </row>
    <row r="43" spans="1:22" s="7" customFormat="1" ht="12.75">
      <c r="A43" s="147"/>
      <c r="B43" s="64"/>
      <c r="C43" s="97" t="s">
        <v>106</v>
      </c>
      <c r="D43" s="80"/>
      <c r="E43" s="96"/>
      <c r="F43" s="94"/>
      <c r="G43" s="81"/>
      <c r="H43" s="89"/>
      <c r="I43" s="11"/>
      <c r="J43" s="66"/>
      <c r="K43" s="89"/>
      <c r="L43" s="89"/>
      <c r="M43" s="89"/>
      <c r="N43" s="89"/>
      <c r="O43" s="89"/>
      <c r="P43" s="161"/>
    </row>
    <row r="44" spans="1:22" s="105" customFormat="1" ht="12.75">
      <c r="A44" s="117">
        <v>1</v>
      </c>
      <c r="B44" s="64" t="s">
        <v>8</v>
      </c>
      <c r="C44" s="110" t="s">
        <v>100</v>
      </c>
      <c r="D44" s="10" t="s">
        <v>9</v>
      </c>
      <c r="E44" s="111">
        <f>22.5+101</f>
        <v>123.5</v>
      </c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162"/>
      <c r="Q44" s="101"/>
      <c r="R44" s="102"/>
      <c r="S44" s="103"/>
      <c r="T44" s="104"/>
      <c r="U44" s="104"/>
      <c r="V44" s="103"/>
    </row>
    <row r="45" spans="1:22" s="107" customFormat="1" ht="25.5">
      <c r="A45" s="165">
        <v>24</v>
      </c>
      <c r="B45" s="64" t="s">
        <v>6</v>
      </c>
      <c r="C45" s="84" t="s">
        <v>70</v>
      </c>
      <c r="D45" s="99" t="s">
        <v>92</v>
      </c>
      <c r="E45" s="85">
        <f>(E13*0.1+E35+E38+E41+E29*0.3+E44*0.3)*1.54</f>
        <v>95.6</v>
      </c>
      <c r="F45" s="71"/>
      <c r="G45" s="70"/>
      <c r="H45" s="81"/>
      <c r="I45" s="71"/>
      <c r="J45" s="11"/>
      <c r="K45" s="70"/>
      <c r="L45" s="70"/>
      <c r="M45" s="70"/>
      <c r="N45" s="70"/>
      <c r="O45" s="70"/>
      <c r="P45" s="119"/>
      <c r="Q45" s="106"/>
    </row>
    <row r="46" spans="1:22" s="7" customFormat="1" ht="13.5" thickBot="1">
      <c r="A46" s="126"/>
      <c r="B46" s="127"/>
      <c r="C46" s="406" t="s">
        <v>97</v>
      </c>
      <c r="D46" s="406"/>
      <c r="E46" s="406"/>
      <c r="F46" s="406"/>
      <c r="G46" s="406"/>
      <c r="H46" s="406"/>
      <c r="I46" s="406"/>
      <c r="J46" s="406"/>
      <c r="K46" s="406"/>
      <c r="L46" s="153">
        <f>SUM(L13:L45)</f>
        <v>0</v>
      </c>
      <c r="M46" s="153">
        <f>SUM(M13:M45)</f>
        <v>0</v>
      </c>
      <c r="N46" s="153">
        <f>SUM(N13:N45)</f>
        <v>0</v>
      </c>
      <c r="O46" s="153">
        <f>SUM(O13:O45)</f>
        <v>0</v>
      </c>
      <c r="P46" s="154">
        <f>SUM(P13:P45)</f>
        <v>0</v>
      </c>
    </row>
    <row r="47" spans="1:22" s="7" customFormat="1" ht="12.75">
      <c r="A47" s="114"/>
      <c r="B47" s="114"/>
      <c r="C47" s="115"/>
      <c r="D47" s="115"/>
      <c r="E47" s="115"/>
      <c r="F47" s="115"/>
      <c r="G47" s="115"/>
      <c r="H47" s="115"/>
      <c r="I47" s="115"/>
      <c r="J47" s="115"/>
      <c r="K47" s="115"/>
      <c r="L47" s="116"/>
      <c r="M47" s="116"/>
      <c r="N47" s="116"/>
      <c r="O47" s="116"/>
      <c r="P47" s="116"/>
    </row>
    <row r="48" spans="1:22" s="7" customFormat="1" ht="12.75">
      <c r="A48" s="114"/>
      <c r="B48" s="114"/>
      <c r="C48" s="115"/>
      <c r="D48" s="115"/>
      <c r="E48" s="115"/>
      <c r="F48" s="115"/>
      <c r="G48" s="115"/>
      <c r="H48" s="115"/>
      <c r="I48" s="115"/>
      <c r="J48" s="115"/>
      <c r="K48" s="115"/>
      <c r="L48" s="116"/>
      <c r="M48" s="116"/>
      <c r="N48" s="116"/>
      <c r="O48" s="116"/>
      <c r="P48" s="116"/>
    </row>
    <row r="49" spans="1:18" s="7" customFormat="1" ht="12.75">
      <c r="P49" s="59"/>
      <c r="R49" s="108"/>
    </row>
    <row r="50" spans="1:18" s="7" customFormat="1" ht="12.75">
      <c r="P50" s="59"/>
      <c r="R50" s="108"/>
    </row>
    <row r="51" spans="1:18" s="7" customFormat="1" ht="12.75">
      <c r="A51" s="6"/>
      <c r="B51" s="6"/>
      <c r="C51" s="5" t="s">
        <v>21</v>
      </c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4"/>
    </row>
    <row r="52" spans="1:18" s="7" customFormat="1" ht="12.75">
      <c r="A52" s="5"/>
      <c r="B52" s="5"/>
      <c r="C52" s="3"/>
      <c r="D52" s="392" t="s">
        <v>22</v>
      </c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4"/>
    </row>
    <row r="53" spans="1:18" s="7" customFormat="1" ht="12.75">
      <c r="A53" s="3"/>
      <c r="B53" s="3"/>
      <c r="C53" s="5" t="s">
        <v>23</v>
      </c>
      <c r="D53" s="354"/>
      <c r="E53" s="354"/>
      <c r="F53" s="354"/>
      <c r="G53" s="3"/>
      <c r="H53" s="3"/>
      <c r="I53" s="3"/>
      <c r="J53" s="3"/>
      <c r="K53" s="3"/>
      <c r="L53" s="3"/>
      <c r="M53" s="3"/>
      <c r="N53" s="3"/>
      <c r="O53" s="3"/>
      <c r="P53" s="4"/>
    </row>
    <row r="54" spans="1:18" s="7" customFormat="1" ht="12.75">
      <c r="A54" s="3"/>
      <c r="B54" s="3"/>
      <c r="C54" s="5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/>
    </row>
    <row r="55" spans="1:18" s="7" customFormat="1" ht="12.75"/>
    <row r="56" spans="1:18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8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8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8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8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8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8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8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1:16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1:1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1:1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1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16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16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1:16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1:16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1:16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1:16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1:16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1:16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1:16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1:16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1:1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1:16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1:16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1:16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1:16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1:16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1:16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1:16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1:16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1:16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1:16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1:16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1:16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1:16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1:1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1:16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1:16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1:16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1:16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1:16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1:16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1:16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</sheetData>
  <mergeCells count="22">
    <mergeCell ref="A5:K5"/>
    <mergeCell ref="L1:O1"/>
    <mergeCell ref="A2:C2"/>
    <mergeCell ref="L2:O2"/>
    <mergeCell ref="L3:O3"/>
    <mergeCell ref="A3:D3"/>
    <mergeCell ref="A6:D6"/>
    <mergeCell ref="A8:J8"/>
    <mergeCell ref="L9:P9"/>
    <mergeCell ref="D51:O51"/>
    <mergeCell ref="C46:K46"/>
    <mergeCell ref="C9:C10"/>
    <mergeCell ref="D9:D10"/>
    <mergeCell ref="D53:F53"/>
    <mergeCell ref="D52:O52"/>
    <mergeCell ref="A7:H7"/>
    <mergeCell ref="L7:N7"/>
    <mergeCell ref="O7:P7"/>
    <mergeCell ref="A9:A10"/>
    <mergeCell ref="B9:B10"/>
    <mergeCell ref="E9:E10"/>
    <mergeCell ref="F9:K9"/>
  </mergeCells>
  <conditionalFormatting sqref="C17:C18">
    <cfRule type="cellIs" dxfId="141" priority="68" operator="equal">
      <formula>0</formula>
    </cfRule>
  </conditionalFormatting>
  <conditionalFormatting sqref="C21">
    <cfRule type="cellIs" dxfId="140" priority="66" operator="equal">
      <formula>0</formula>
    </cfRule>
  </conditionalFormatting>
  <conditionalFormatting sqref="D13">
    <cfRule type="cellIs" dxfId="139" priority="63" stopIfTrue="1" operator="equal">
      <formula>0</formula>
    </cfRule>
    <cfRule type="expression" dxfId="138" priority="64" stopIfTrue="1">
      <formula>#N/A</formula>
    </cfRule>
  </conditionalFormatting>
  <conditionalFormatting sqref="D18:D19">
    <cfRule type="cellIs" dxfId="137" priority="61" stopIfTrue="1" operator="equal">
      <formula>0</formula>
    </cfRule>
    <cfRule type="expression" dxfId="136" priority="62" stopIfTrue="1">
      <formula>#N/A</formula>
    </cfRule>
  </conditionalFormatting>
  <conditionalFormatting sqref="D21:D22">
    <cfRule type="cellIs" dxfId="135" priority="152" stopIfTrue="1" operator="equal">
      <formula>0</formula>
    </cfRule>
    <cfRule type="expression" dxfId="134" priority="153" stopIfTrue="1">
      <formula>#N/A</formula>
    </cfRule>
  </conditionalFormatting>
  <conditionalFormatting sqref="D26:D27">
    <cfRule type="cellIs" dxfId="133" priority="55" stopIfTrue="1" operator="equal">
      <formula>0</formula>
    </cfRule>
    <cfRule type="expression" dxfId="132" priority="56" stopIfTrue="1">
      <formula>#N/A</formula>
    </cfRule>
  </conditionalFormatting>
  <conditionalFormatting sqref="D29:D42">
    <cfRule type="cellIs" dxfId="131" priority="5" stopIfTrue="1" operator="equal">
      <formula>0</formula>
    </cfRule>
    <cfRule type="expression" dxfId="130" priority="6" stopIfTrue="1">
      <formula>#N/A</formula>
    </cfRule>
  </conditionalFormatting>
  <conditionalFormatting sqref="D44:D48">
    <cfRule type="cellIs" dxfId="129" priority="1" stopIfTrue="1" operator="equal">
      <formula>0</formula>
    </cfRule>
    <cfRule type="expression" dxfId="128" priority="2" stopIfTrue="1">
      <formula>#N/A</formula>
    </cfRule>
  </conditionalFormatting>
  <hyperlinks>
    <hyperlink ref="L1" r:id="rId1" tooltip="Atvērt citā formātā" display="https://likumi.lv/wwwraksti/2017/103/BILDES/N_239/P5.DOCX" xr:uid="{329E29E3-990E-4F69-9348-896CEBA157E5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2B47-902B-489B-905E-8A4AE87CF3DC}">
  <sheetPr>
    <pageSetUpPr fitToPage="1"/>
  </sheetPr>
  <dimension ref="A1:R26"/>
  <sheetViews>
    <sheetView zoomScale="130" zoomScaleNormal="130" workbookViewId="0">
      <selection activeCell="H4" sqref="H4"/>
    </sheetView>
  </sheetViews>
  <sheetFormatPr defaultColWidth="9.140625" defaultRowHeight="14.25"/>
  <cols>
    <col min="1" max="1" width="6.140625" style="1" customWidth="1"/>
    <col min="2" max="2" width="8.42578125" style="1" customWidth="1"/>
    <col min="3" max="3" width="43.28515625" style="1" customWidth="1"/>
    <col min="4" max="4" width="5.7109375" style="1" customWidth="1"/>
    <col min="5" max="5" width="7.5703125" style="1" customWidth="1"/>
    <col min="6" max="6" width="7.28515625" style="1" customWidth="1"/>
    <col min="7" max="9" width="8.85546875" style="1" customWidth="1"/>
    <col min="10" max="10" width="8.28515625" style="1" customWidth="1"/>
    <col min="11" max="11" width="8" style="1" customWidth="1"/>
    <col min="12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12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164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535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6" ht="15.75" thickBot="1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16"/>
      <c r="M8" s="16"/>
      <c r="N8" s="16"/>
      <c r="O8" s="16"/>
      <c r="P8" s="16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407" t="s">
        <v>13</v>
      </c>
      <c r="G9" s="408"/>
      <c r="H9" s="408"/>
      <c r="I9" s="408"/>
      <c r="J9" s="408"/>
      <c r="K9" s="409"/>
      <c r="L9" s="388" t="s">
        <v>14</v>
      </c>
      <c r="M9" s="388"/>
      <c r="N9" s="388"/>
      <c r="O9" s="388"/>
      <c r="P9" s="389"/>
    </row>
    <row r="10" spans="1:16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ht="15.7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85">
        <v>6</v>
      </c>
      <c r="G11" s="185">
        <v>7</v>
      </c>
      <c r="H11" s="185">
        <v>8</v>
      </c>
      <c r="I11" s="185">
        <v>9</v>
      </c>
      <c r="J11" s="185">
        <v>10</v>
      </c>
      <c r="K11" s="185">
        <v>11</v>
      </c>
      <c r="L11" s="185">
        <v>12</v>
      </c>
      <c r="M11" s="185">
        <v>13</v>
      </c>
      <c r="N11" s="185">
        <v>14</v>
      </c>
      <c r="O11" s="185">
        <v>15</v>
      </c>
      <c r="P11" s="186">
        <v>16</v>
      </c>
    </row>
    <row r="12" spans="1:16">
      <c r="A12" s="187">
        <v>1</v>
      </c>
      <c r="B12" s="141" t="s">
        <v>8</v>
      </c>
      <c r="C12" s="188" t="s">
        <v>165</v>
      </c>
      <c r="D12" s="141" t="s">
        <v>7</v>
      </c>
      <c r="E12" s="145">
        <v>13.2</v>
      </c>
      <c r="F12" s="143"/>
      <c r="G12" s="143"/>
      <c r="H12" s="143"/>
      <c r="I12" s="143"/>
      <c r="J12" s="145"/>
      <c r="K12" s="143"/>
      <c r="L12" s="143"/>
      <c r="M12" s="143"/>
      <c r="N12" s="143"/>
      <c r="O12" s="143"/>
      <c r="P12" s="155"/>
    </row>
    <row r="13" spans="1:16" ht="27" customHeight="1">
      <c r="A13" s="189">
        <v>2</v>
      </c>
      <c r="B13" s="10" t="s">
        <v>8</v>
      </c>
      <c r="C13" s="51" t="s">
        <v>169</v>
      </c>
      <c r="D13" s="80" t="s">
        <v>66</v>
      </c>
      <c r="E13" s="66">
        <f>E14*0.2</f>
        <v>2.92</v>
      </c>
      <c r="F13" s="66"/>
      <c r="G13" s="81"/>
      <c r="H13" s="66"/>
      <c r="I13" s="66"/>
      <c r="J13" s="66"/>
      <c r="K13" s="70"/>
      <c r="L13" s="70"/>
      <c r="M13" s="70"/>
      <c r="N13" s="70"/>
      <c r="O13" s="70"/>
      <c r="P13" s="119"/>
    </row>
    <row r="14" spans="1:16" ht="25.5">
      <c r="A14" s="164">
        <v>3</v>
      </c>
      <c r="B14" s="64" t="s">
        <v>171</v>
      </c>
      <c r="C14" s="174" t="s">
        <v>170</v>
      </c>
      <c r="D14" s="73" t="s">
        <v>172</v>
      </c>
      <c r="E14" s="100">
        <f>12.15*0.4*3</f>
        <v>14.58</v>
      </c>
      <c r="F14" s="11"/>
      <c r="G14" s="81"/>
      <c r="H14" s="11"/>
      <c r="I14" s="66"/>
      <c r="J14" s="66"/>
      <c r="K14" s="11"/>
      <c r="L14" s="11"/>
      <c r="M14" s="11"/>
      <c r="N14" s="11"/>
      <c r="O14" s="11"/>
      <c r="P14" s="152"/>
    </row>
    <row r="15" spans="1:16" s="16" customFormat="1" ht="15.75">
      <c r="A15" s="147">
        <v>4</v>
      </c>
      <c r="B15" s="64" t="s">
        <v>67</v>
      </c>
      <c r="C15" s="51" t="s">
        <v>166</v>
      </c>
      <c r="D15" s="80" t="s">
        <v>66</v>
      </c>
      <c r="E15" s="77">
        <f>12.15*0.2*0.25</f>
        <v>0.61</v>
      </c>
      <c r="F15" s="66"/>
      <c r="G15" s="81"/>
      <c r="H15" s="66"/>
      <c r="I15" s="70"/>
      <c r="J15" s="66"/>
      <c r="K15" s="70"/>
      <c r="L15" s="70"/>
      <c r="M15" s="70"/>
      <c r="N15" s="70"/>
      <c r="O15" s="70"/>
      <c r="P15" s="119"/>
    </row>
    <row r="16" spans="1:16" s="16" customFormat="1" ht="15.75">
      <c r="A16" s="147">
        <v>5</v>
      </c>
      <c r="B16" s="64" t="s">
        <v>67</v>
      </c>
      <c r="C16" s="51" t="s">
        <v>167</v>
      </c>
      <c r="D16" s="80" t="s">
        <v>66</v>
      </c>
      <c r="E16" s="77">
        <f>12.15*0.2*0.1*3</f>
        <v>0.73</v>
      </c>
      <c r="F16" s="66"/>
      <c r="G16" s="81"/>
      <c r="H16" s="66"/>
      <c r="I16" s="70"/>
      <c r="J16" s="66"/>
      <c r="K16" s="70"/>
      <c r="L16" s="70"/>
      <c r="M16" s="70"/>
      <c r="N16" s="70"/>
      <c r="O16" s="70"/>
      <c r="P16" s="119"/>
    </row>
    <row r="17" spans="1:18" s="16" customFormat="1" ht="15.75">
      <c r="A17" s="147">
        <v>6</v>
      </c>
      <c r="B17" s="64" t="s">
        <v>67</v>
      </c>
      <c r="C17" s="51" t="s">
        <v>168</v>
      </c>
      <c r="D17" s="80" t="s">
        <v>66</v>
      </c>
      <c r="E17" s="77">
        <v>1.2</v>
      </c>
      <c r="F17" s="66"/>
      <c r="G17" s="81"/>
      <c r="H17" s="66"/>
      <c r="I17" s="70"/>
      <c r="J17" s="66"/>
      <c r="K17" s="70"/>
      <c r="L17" s="70"/>
      <c r="M17" s="70"/>
      <c r="N17" s="70"/>
      <c r="O17" s="70"/>
      <c r="P17" s="119"/>
    </row>
    <row r="18" spans="1:18" ht="15.75">
      <c r="A18" s="189">
        <v>8</v>
      </c>
      <c r="B18" s="64" t="s">
        <v>67</v>
      </c>
      <c r="C18" s="51" t="s">
        <v>173</v>
      </c>
      <c r="D18" s="80" t="s">
        <v>66</v>
      </c>
      <c r="E18" s="66">
        <v>0.3</v>
      </c>
      <c r="F18" s="66"/>
      <c r="G18" s="81"/>
      <c r="H18" s="66"/>
      <c r="I18" s="70"/>
      <c r="J18" s="66"/>
      <c r="K18" s="70"/>
      <c r="L18" s="70"/>
      <c r="M18" s="70"/>
      <c r="N18" s="70"/>
      <c r="O18" s="70"/>
      <c r="P18" s="119"/>
      <c r="R18" s="57"/>
    </row>
    <row r="19" spans="1:18" s="7" customFormat="1" ht="13.5" thickBot="1">
      <c r="A19" s="126"/>
      <c r="B19" s="127"/>
      <c r="C19" s="410" t="s">
        <v>97</v>
      </c>
      <c r="D19" s="411"/>
      <c r="E19" s="411"/>
      <c r="F19" s="411"/>
      <c r="G19" s="411"/>
      <c r="H19" s="411"/>
      <c r="I19" s="411"/>
      <c r="J19" s="411"/>
      <c r="K19" s="412"/>
      <c r="L19" s="153">
        <f>SUM(L12:L18)</f>
        <v>0</v>
      </c>
      <c r="M19" s="153">
        <f>SUM(M12:M18)</f>
        <v>0</v>
      </c>
      <c r="N19" s="153">
        <f>SUM(N12:N18)</f>
        <v>0</v>
      </c>
      <c r="O19" s="153">
        <f>SUM(O12:O18)</f>
        <v>0</v>
      </c>
      <c r="P19" s="154">
        <f>SUM(P12:P18)</f>
        <v>0</v>
      </c>
    </row>
    <row r="20" spans="1:18" s="7" customFormat="1" ht="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3"/>
    </row>
    <row r="21" spans="1:18" s="7" customFormat="1" ht="12.75">
      <c r="A21" s="6"/>
      <c r="B21" s="6"/>
      <c r="C21" s="5" t="s">
        <v>21</v>
      </c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4"/>
    </row>
    <row r="22" spans="1:18">
      <c r="A22" s="5"/>
      <c r="B22" s="5"/>
      <c r="C22" s="3"/>
      <c r="D22" s="392" t="s">
        <v>22</v>
      </c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4"/>
    </row>
    <row r="23" spans="1:18">
      <c r="A23" s="3"/>
      <c r="B23" s="3"/>
      <c r="C23" s="5" t="s">
        <v>23</v>
      </c>
      <c r="D23" s="354"/>
      <c r="E23" s="354"/>
      <c r="F23" s="354"/>
      <c r="G23" s="3"/>
      <c r="H23" s="3"/>
      <c r="I23" s="3"/>
      <c r="J23" s="3"/>
      <c r="K23" s="3"/>
      <c r="L23" s="3"/>
      <c r="M23" s="3"/>
      <c r="N23" s="3"/>
      <c r="O23" s="3"/>
      <c r="P23" s="4"/>
    </row>
    <row r="24" spans="1:18">
      <c r="A24" s="3"/>
      <c r="B24" s="3"/>
      <c r="C24" s="5"/>
      <c r="D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4"/>
    </row>
    <row r="25" spans="1:18" ht="15.75" thickBo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8" ht="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</sheetData>
  <mergeCells count="22">
    <mergeCell ref="A6:D6"/>
    <mergeCell ref="L1:O1"/>
    <mergeCell ref="A2:C2"/>
    <mergeCell ref="L2:O2"/>
    <mergeCell ref="A3:D3"/>
    <mergeCell ref="L3:O3"/>
    <mergeCell ref="A5:K5"/>
    <mergeCell ref="L7:N7"/>
    <mergeCell ref="O7:P7"/>
    <mergeCell ref="D21:O21"/>
    <mergeCell ref="C19:K19"/>
    <mergeCell ref="L9:P9"/>
    <mergeCell ref="A8:J8"/>
    <mergeCell ref="A7:H7"/>
    <mergeCell ref="D23:F23"/>
    <mergeCell ref="A9:A10"/>
    <mergeCell ref="B9:B10"/>
    <mergeCell ref="C9:C10"/>
    <mergeCell ref="D9:D10"/>
    <mergeCell ref="E9:E10"/>
    <mergeCell ref="F9:K9"/>
    <mergeCell ref="D22:O22"/>
  </mergeCells>
  <conditionalFormatting sqref="D12:D19">
    <cfRule type="cellIs" dxfId="127" priority="1" stopIfTrue="1" operator="equal">
      <formula>0</formula>
    </cfRule>
    <cfRule type="expression" dxfId="126" priority="2" stopIfTrue="1">
      <formula>#N/A</formula>
    </cfRule>
  </conditionalFormatting>
  <hyperlinks>
    <hyperlink ref="L1" r:id="rId1" tooltip="Atvērt citā formātā" display="https://likumi.lv/wwwraksti/2017/103/BILDES/N_239/P5.DOCX" xr:uid="{EF01E193-9161-4BFB-BA0C-C9F0B4361A8E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8F33-77B3-4154-B9F5-9804066DACE2}">
  <dimension ref="A1:IV277"/>
  <sheetViews>
    <sheetView topLeftCell="A223" zoomScale="130" zoomScaleNormal="130" workbookViewId="0">
      <selection activeCell="A4" sqref="A4:K4"/>
    </sheetView>
  </sheetViews>
  <sheetFormatPr defaultColWidth="9.140625" defaultRowHeight="14.25"/>
  <cols>
    <col min="1" max="1" width="6.140625" style="1" customWidth="1"/>
    <col min="2" max="2" width="8.5703125" style="1" customWidth="1"/>
    <col min="3" max="3" width="41.140625" style="1" customWidth="1"/>
    <col min="4" max="4" width="5.5703125" style="1" customWidth="1"/>
    <col min="5" max="5" width="6.7109375" style="1" customWidth="1"/>
    <col min="6" max="6" width="7.42578125" style="1" customWidth="1"/>
    <col min="7" max="7" width="8.5703125" style="1" customWidth="1"/>
    <col min="8" max="9" width="8.85546875" style="1" customWidth="1"/>
    <col min="10" max="10" width="10.140625" style="1" customWidth="1"/>
    <col min="11" max="11" width="7.140625" style="1" customWidth="1"/>
    <col min="12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54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108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A4" s="399" t="s">
        <v>531</v>
      </c>
      <c r="B4" s="400"/>
      <c r="C4" s="400"/>
      <c r="D4" s="400"/>
      <c r="E4" s="400"/>
      <c r="F4" s="400"/>
      <c r="G4" s="400"/>
      <c r="H4" s="400"/>
      <c r="I4" s="400"/>
      <c r="J4" s="400"/>
      <c r="K4" s="401"/>
    </row>
    <row r="5" spans="1:16" ht="15" customHeight="1">
      <c r="A5" s="379" t="s">
        <v>532</v>
      </c>
      <c r="B5" s="379"/>
      <c r="C5" s="379"/>
      <c r="D5" s="398"/>
      <c r="E5" s="7"/>
      <c r="F5" s="7"/>
      <c r="G5" s="7"/>
      <c r="H5" s="7"/>
      <c r="I5" s="7"/>
      <c r="J5" s="7"/>
    </row>
    <row r="6" spans="1:16">
      <c r="A6" s="379" t="s">
        <v>535</v>
      </c>
      <c r="B6" s="379"/>
      <c r="C6" s="379"/>
      <c r="D6" s="379"/>
      <c r="E6" s="379"/>
      <c r="F6" s="379"/>
      <c r="G6" s="379"/>
      <c r="H6" s="379"/>
      <c r="I6" s="7"/>
      <c r="J6" s="7"/>
      <c r="L6" s="363" t="s">
        <v>18</v>
      </c>
      <c r="M6" s="363"/>
      <c r="N6" s="363"/>
      <c r="O6" s="364"/>
      <c r="P6" s="363"/>
    </row>
    <row r="7" spans="1:16" ht="15" thickBot="1">
      <c r="A7" s="379" t="s">
        <v>536</v>
      </c>
      <c r="B7" s="379"/>
      <c r="C7" s="379"/>
      <c r="D7" s="379"/>
      <c r="E7" s="379"/>
      <c r="F7" s="379"/>
      <c r="G7" s="379"/>
      <c r="H7" s="379"/>
      <c r="I7" s="379"/>
      <c r="J7" s="379"/>
      <c r="K7" s="7"/>
      <c r="L7" s="7"/>
      <c r="M7" s="7"/>
      <c r="N7" s="7"/>
      <c r="O7" s="7"/>
      <c r="P7" s="7"/>
    </row>
    <row r="8" spans="1:16" ht="14.25" customHeight="1">
      <c r="A8" s="394" t="s">
        <v>1</v>
      </c>
      <c r="B8" s="388" t="s">
        <v>2</v>
      </c>
      <c r="C8" s="388" t="s">
        <v>3</v>
      </c>
      <c r="D8" s="396" t="s">
        <v>4</v>
      </c>
      <c r="E8" s="396" t="s">
        <v>5</v>
      </c>
      <c r="F8" s="388" t="s">
        <v>13</v>
      </c>
      <c r="G8" s="388"/>
      <c r="H8" s="388"/>
      <c r="I8" s="388"/>
      <c r="J8" s="388"/>
      <c r="K8" s="388"/>
      <c r="L8" s="388" t="s">
        <v>14</v>
      </c>
      <c r="M8" s="388"/>
      <c r="N8" s="388"/>
      <c r="O8" s="388"/>
      <c r="P8" s="389"/>
    </row>
    <row r="9" spans="1:16" ht="51">
      <c r="A9" s="395"/>
      <c r="B9" s="377"/>
      <c r="C9" s="377"/>
      <c r="D9" s="397"/>
      <c r="E9" s="397"/>
      <c r="F9" s="10" t="s">
        <v>15</v>
      </c>
      <c r="G9" s="10" t="s">
        <v>16</v>
      </c>
      <c r="H9" s="10" t="s">
        <v>52</v>
      </c>
      <c r="I9" s="10" t="s">
        <v>49</v>
      </c>
      <c r="J9" s="10" t="s">
        <v>53</v>
      </c>
      <c r="K9" s="10" t="s">
        <v>50</v>
      </c>
      <c r="L9" s="10" t="s">
        <v>17</v>
      </c>
      <c r="M9" s="10" t="s">
        <v>52</v>
      </c>
      <c r="N9" s="10" t="s">
        <v>49</v>
      </c>
      <c r="O9" s="10" t="s">
        <v>53</v>
      </c>
      <c r="P9" s="125" t="s">
        <v>51</v>
      </c>
    </row>
    <row r="10" spans="1:16" ht="15" thickBot="1">
      <c r="A10" s="126">
        <v>1</v>
      </c>
      <c r="B10" s="127">
        <v>2</v>
      </c>
      <c r="C10" s="127">
        <v>3</v>
      </c>
      <c r="D10" s="127">
        <v>4</v>
      </c>
      <c r="E10" s="127">
        <v>5</v>
      </c>
      <c r="F10" s="128">
        <v>6</v>
      </c>
      <c r="G10" s="128">
        <v>7</v>
      </c>
      <c r="H10" s="128">
        <v>8</v>
      </c>
      <c r="I10" s="128">
        <v>9</v>
      </c>
      <c r="J10" s="128">
        <v>10</v>
      </c>
      <c r="K10" s="128">
        <v>11</v>
      </c>
      <c r="L10" s="128">
        <v>12</v>
      </c>
      <c r="M10" s="128">
        <v>13</v>
      </c>
      <c r="N10" s="128">
        <v>14</v>
      </c>
      <c r="O10" s="128">
        <v>15</v>
      </c>
      <c r="P10" s="129">
        <v>16</v>
      </c>
    </row>
    <row r="11" spans="1:16">
      <c r="A11" s="147"/>
      <c r="B11" s="10"/>
      <c r="C11" s="68" t="s">
        <v>109</v>
      </c>
      <c r="D11" s="10"/>
      <c r="E11" s="74"/>
      <c r="F11" s="69"/>
      <c r="G11" s="82"/>
      <c r="H11" s="69"/>
      <c r="I11" s="69"/>
      <c r="J11" s="69"/>
      <c r="K11" s="69"/>
      <c r="L11" s="69"/>
      <c r="M11" s="69"/>
      <c r="N11" s="69"/>
      <c r="O11" s="69"/>
      <c r="P11" s="163"/>
    </row>
    <row r="12" spans="1:16" customFormat="1" ht="15" customHeight="1">
      <c r="A12" s="117">
        <v>2</v>
      </c>
      <c r="B12" s="62" t="s">
        <v>105</v>
      </c>
      <c r="C12" s="110" t="s">
        <v>112</v>
      </c>
      <c r="D12" s="10" t="s">
        <v>9</v>
      </c>
      <c r="E12" s="111">
        <f>(5.77*2+7.77)*2.2</f>
        <v>42.48</v>
      </c>
      <c r="F12" s="71"/>
      <c r="G12" s="82"/>
      <c r="H12" s="70"/>
      <c r="I12" s="70"/>
      <c r="J12" s="70"/>
      <c r="K12" s="70"/>
      <c r="L12" s="70"/>
      <c r="M12" s="70"/>
      <c r="N12" s="70"/>
      <c r="O12" s="70"/>
      <c r="P12" s="119"/>
    </row>
    <row r="13" spans="1:16" customFormat="1" ht="15" customHeight="1">
      <c r="A13" s="117">
        <v>3</v>
      </c>
      <c r="B13" s="62" t="s">
        <v>105</v>
      </c>
      <c r="C13" s="118" t="s">
        <v>110</v>
      </c>
      <c r="D13" s="10" t="s">
        <v>9</v>
      </c>
      <c r="E13" s="111">
        <f>E12</f>
        <v>42.48</v>
      </c>
      <c r="F13" s="71"/>
      <c r="G13" s="82"/>
      <c r="H13" s="71"/>
      <c r="I13" s="70"/>
      <c r="J13" s="71"/>
      <c r="K13" s="70"/>
      <c r="L13" s="70"/>
      <c r="M13" s="70"/>
      <c r="N13" s="70"/>
      <c r="O13" s="70"/>
      <c r="P13" s="119"/>
    </row>
    <row r="14" spans="1:16">
      <c r="A14" s="117">
        <v>4</v>
      </c>
      <c r="B14" s="62" t="s">
        <v>105</v>
      </c>
      <c r="C14" s="118" t="s">
        <v>111</v>
      </c>
      <c r="D14" s="10" t="s">
        <v>9</v>
      </c>
      <c r="E14" s="111">
        <f>E12</f>
        <v>42.48</v>
      </c>
      <c r="F14" s="71"/>
      <c r="G14" s="82"/>
      <c r="H14" s="71"/>
      <c r="I14" s="70"/>
      <c r="J14" s="71"/>
      <c r="K14" s="70"/>
      <c r="L14" s="70"/>
      <c r="M14" s="70"/>
      <c r="N14" s="70"/>
      <c r="O14" s="70"/>
      <c r="P14" s="119"/>
    </row>
    <row r="15" spans="1:16">
      <c r="A15" s="117">
        <v>5</v>
      </c>
      <c r="B15" s="62" t="s">
        <v>105</v>
      </c>
      <c r="C15" s="118" t="s">
        <v>136</v>
      </c>
      <c r="D15" s="10" t="s">
        <v>9</v>
      </c>
      <c r="E15" s="111">
        <f>E12</f>
        <v>42.48</v>
      </c>
      <c r="F15" s="71"/>
      <c r="G15" s="82"/>
      <c r="H15" s="71"/>
      <c r="I15" s="70"/>
      <c r="J15" s="71"/>
      <c r="K15" s="70"/>
      <c r="L15" s="70"/>
      <c r="M15" s="70"/>
      <c r="N15" s="70"/>
      <c r="O15" s="70"/>
      <c r="P15" s="119"/>
    </row>
    <row r="16" spans="1:16" s="16" customFormat="1" ht="15">
      <c r="A16" s="164">
        <v>6</v>
      </c>
      <c r="B16" s="62" t="s">
        <v>105</v>
      </c>
      <c r="C16" s="98" t="s">
        <v>121</v>
      </c>
      <c r="D16" s="99" t="s">
        <v>44</v>
      </c>
      <c r="E16" s="100">
        <v>1</v>
      </c>
      <c r="F16" s="71"/>
      <c r="G16" s="81"/>
      <c r="H16" s="11"/>
      <c r="I16" s="71"/>
      <c r="J16" s="66"/>
      <c r="K16" s="66"/>
      <c r="L16" s="66"/>
      <c r="M16" s="66"/>
      <c r="N16" s="66"/>
      <c r="O16" s="66"/>
      <c r="P16" s="156"/>
    </row>
    <row r="17" spans="1:16" s="16" customFormat="1" ht="15">
      <c r="A17" s="165">
        <v>7</v>
      </c>
      <c r="B17" s="62" t="s">
        <v>105</v>
      </c>
      <c r="C17" s="92" t="s">
        <v>122</v>
      </c>
      <c r="D17" s="10" t="s">
        <v>9</v>
      </c>
      <c r="E17" s="77">
        <f>0.5*3.69</f>
        <v>1.85</v>
      </c>
      <c r="F17" s="71"/>
      <c r="G17" s="70"/>
      <c r="H17" s="81"/>
      <c r="I17" s="71"/>
      <c r="J17" s="11"/>
      <c r="K17" s="66"/>
      <c r="L17" s="66"/>
      <c r="M17" s="66"/>
      <c r="N17" s="66"/>
      <c r="O17" s="66"/>
      <c r="P17" s="156"/>
    </row>
    <row r="18" spans="1:16">
      <c r="A18" s="117">
        <v>8</v>
      </c>
      <c r="B18" s="62" t="s">
        <v>105</v>
      </c>
      <c r="C18" s="118" t="s">
        <v>123</v>
      </c>
      <c r="D18" s="10" t="s">
        <v>9</v>
      </c>
      <c r="E18" s="111">
        <f>E17</f>
        <v>1.85</v>
      </c>
      <c r="F18" s="71"/>
      <c r="G18" s="82"/>
      <c r="H18" s="71"/>
      <c r="I18" s="70"/>
      <c r="J18" s="71"/>
      <c r="K18" s="70"/>
      <c r="L18" s="70"/>
      <c r="M18" s="70"/>
      <c r="N18" s="70"/>
      <c r="O18" s="70"/>
      <c r="P18" s="119"/>
    </row>
    <row r="19" spans="1:16" customFormat="1" ht="15" customHeight="1">
      <c r="A19" s="147"/>
      <c r="B19" s="10"/>
      <c r="C19" s="68" t="s">
        <v>113</v>
      </c>
      <c r="D19" s="10"/>
      <c r="E19" s="74"/>
      <c r="F19" s="69"/>
      <c r="G19" s="82"/>
      <c r="H19" s="69"/>
      <c r="I19" s="69"/>
      <c r="J19" s="69"/>
      <c r="K19" s="69"/>
      <c r="L19" s="69"/>
      <c r="M19" s="69"/>
      <c r="N19" s="69"/>
      <c r="O19" s="69"/>
      <c r="P19" s="163"/>
    </row>
    <row r="20" spans="1:16" customFormat="1" ht="15" customHeight="1">
      <c r="A20" s="117">
        <v>9</v>
      </c>
      <c r="B20" s="62" t="s">
        <v>105</v>
      </c>
      <c r="C20" s="110" t="s">
        <v>112</v>
      </c>
      <c r="D20" s="10" t="s">
        <v>9</v>
      </c>
      <c r="E20" s="111">
        <f>(7.42+11.24)*2*2.2</f>
        <v>82.1</v>
      </c>
      <c r="F20" s="71"/>
      <c r="G20" s="82"/>
      <c r="H20" s="70"/>
      <c r="I20" s="70"/>
      <c r="J20" s="70"/>
      <c r="K20" s="70"/>
      <c r="L20" s="70"/>
      <c r="M20" s="70"/>
      <c r="N20" s="70"/>
      <c r="O20" s="70"/>
      <c r="P20" s="119"/>
    </row>
    <row r="21" spans="1:16">
      <c r="A21" s="117">
        <v>10</v>
      </c>
      <c r="B21" s="62" t="s">
        <v>105</v>
      </c>
      <c r="C21" s="118" t="s">
        <v>110</v>
      </c>
      <c r="D21" s="10" t="s">
        <v>9</v>
      </c>
      <c r="E21" s="111">
        <f>E20</f>
        <v>82.1</v>
      </c>
      <c r="F21" s="71"/>
      <c r="G21" s="82"/>
      <c r="H21" s="71"/>
      <c r="I21" s="70"/>
      <c r="J21" s="71"/>
      <c r="K21" s="70"/>
      <c r="L21" s="70"/>
      <c r="M21" s="70"/>
      <c r="N21" s="70"/>
      <c r="O21" s="70"/>
      <c r="P21" s="119"/>
    </row>
    <row r="22" spans="1:16">
      <c r="A22" s="117">
        <v>11</v>
      </c>
      <c r="B22" s="62" t="s">
        <v>105</v>
      </c>
      <c r="C22" s="118" t="s">
        <v>111</v>
      </c>
      <c r="D22" s="10" t="s">
        <v>9</v>
      </c>
      <c r="E22" s="111">
        <f>E20</f>
        <v>82.1</v>
      </c>
      <c r="F22" s="71"/>
      <c r="G22" s="82"/>
      <c r="H22" s="71"/>
      <c r="I22" s="70"/>
      <c r="J22" s="71"/>
      <c r="K22" s="70"/>
      <c r="L22" s="70"/>
      <c r="M22" s="70"/>
      <c r="N22" s="70"/>
      <c r="O22" s="70"/>
      <c r="P22" s="119"/>
    </row>
    <row r="23" spans="1:16">
      <c r="A23" s="117">
        <v>12</v>
      </c>
      <c r="B23" s="62" t="s">
        <v>105</v>
      </c>
      <c r="C23" s="118" t="s">
        <v>136</v>
      </c>
      <c r="D23" s="10" t="s">
        <v>9</v>
      </c>
      <c r="E23" s="111">
        <f>E20</f>
        <v>82.1</v>
      </c>
      <c r="F23" s="71"/>
      <c r="G23" s="82"/>
      <c r="H23" s="71"/>
      <c r="I23" s="70"/>
      <c r="J23" s="71"/>
      <c r="K23" s="70"/>
      <c r="L23" s="70"/>
      <c r="M23" s="70"/>
      <c r="N23" s="70"/>
      <c r="O23" s="70"/>
      <c r="P23" s="119"/>
    </row>
    <row r="24" spans="1:16">
      <c r="A24" s="147">
        <v>13</v>
      </c>
      <c r="B24" s="64" t="s">
        <v>71</v>
      </c>
      <c r="C24" s="51" t="s">
        <v>140</v>
      </c>
      <c r="D24" s="99" t="s">
        <v>73</v>
      </c>
      <c r="E24" s="113">
        <v>1</v>
      </c>
      <c r="F24" s="122"/>
      <c r="G24" s="81"/>
      <c r="H24" s="11"/>
      <c r="I24" s="122"/>
      <c r="J24" s="66"/>
      <c r="K24" s="82"/>
      <c r="L24" s="82"/>
      <c r="M24" s="82"/>
      <c r="N24" s="82"/>
      <c r="O24" s="82"/>
      <c r="P24" s="148"/>
    </row>
    <row r="25" spans="1:16" customFormat="1" ht="15" customHeight="1">
      <c r="A25" s="147"/>
      <c r="B25" s="10"/>
      <c r="C25" s="68" t="s">
        <v>114</v>
      </c>
      <c r="D25" s="10"/>
      <c r="E25" s="74"/>
      <c r="F25" s="69"/>
      <c r="G25" s="82"/>
      <c r="H25" s="69"/>
      <c r="I25" s="69"/>
      <c r="J25" s="69"/>
      <c r="K25" s="69"/>
      <c r="L25" s="69"/>
      <c r="M25" s="69"/>
      <c r="N25" s="69"/>
      <c r="O25" s="69"/>
      <c r="P25" s="163"/>
    </row>
    <row r="26" spans="1:16" customFormat="1" ht="15" customHeight="1">
      <c r="A26" s="117">
        <v>14</v>
      </c>
      <c r="B26" s="62" t="s">
        <v>105</v>
      </c>
      <c r="C26" s="110" t="s">
        <v>115</v>
      </c>
      <c r="D26" s="10" t="s">
        <v>9</v>
      </c>
      <c r="E26" s="111">
        <f>(3+6.18+3)*2*3.8+(16.76+5.15)*2*2.2-1.2*2.1*6-1.68*3-2.69*3-3*2.8*3</f>
        <v>135.54</v>
      </c>
      <c r="F26" s="71"/>
      <c r="G26" s="82"/>
      <c r="H26" s="70"/>
      <c r="I26" s="71"/>
      <c r="J26" s="70"/>
      <c r="K26" s="70"/>
      <c r="L26" s="70"/>
      <c r="M26" s="70"/>
      <c r="N26" s="70"/>
      <c r="O26" s="70"/>
      <c r="P26" s="119"/>
    </row>
    <row r="27" spans="1:16" s="7" customFormat="1" ht="16.5" customHeight="1">
      <c r="A27" s="117">
        <v>15</v>
      </c>
      <c r="B27" s="64" t="s">
        <v>8</v>
      </c>
      <c r="C27" s="110" t="s">
        <v>100</v>
      </c>
      <c r="D27" s="10" t="s">
        <v>9</v>
      </c>
      <c r="E27" s="111">
        <v>212.6</v>
      </c>
      <c r="F27" s="71"/>
      <c r="G27" s="71"/>
      <c r="H27" s="71"/>
      <c r="I27" s="71"/>
      <c r="J27" s="70"/>
      <c r="K27" s="71"/>
      <c r="L27" s="71"/>
      <c r="M27" s="71"/>
      <c r="N27" s="71"/>
      <c r="O27" s="71"/>
      <c r="P27" s="162"/>
    </row>
    <row r="28" spans="1:16" s="7" customFormat="1" ht="12.75">
      <c r="A28" s="147">
        <v>16</v>
      </c>
      <c r="B28" s="64" t="s">
        <v>8</v>
      </c>
      <c r="C28" s="86" t="s">
        <v>124</v>
      </c>
      <c r="D28" s="87" t="s">
        <v>9</v>
      </c>
      <c r="E28" s="111">
        <f>E27</f>
        <v>212.6</v>
      </c>
      <c r="F28" s="88"/>
      <c r="G28" s="89"/>
      <c r="H28" s="71"/>
      <c r="I28" s="88"/>
      <c r="J28" s="66"/>
      <c r="K28" s="89"/>
      <c r="L28" s="89"/>
      <c r="M28" s="89"/>
      <c r="N28" s="89"/>
      <c r="O28" s="89"/>
      <c r="P28" s="161"/>
    </row>
    <row r="29" spans="1:16" s="7" customFormat="1" ht="12.75">
      <c r="A29" s="147">
        <v>17</v>
      </c>
      <c r="B29" s="64" t="s">
        <v>71</v>
      </c>
      <c r="C29" s="112" t="s">
        <v>125</v>
      </c>
      <c r="D29" s="87" t="s">
        <v>9</v>
      </c>
      <c r="E29" s="89">
        <f>E27</f>
        <v>212.6</v>
      </c>
      <c r="F29" s="89"/>
      <c r="G29" s="89"/>
      <c r="H29" s="89"/>
      <c r="I29" s="89"/>
      <c r="J29" s="66"/>
      <c r="K29" s="89"/>
      <c r="L29" s="89"/>
      <c r="M29" s="89"/>
      <c r="N29" s="89"/>
      <c r="O29" s="89"/>
      <c r="P29" s="161"/>
    </row>
    <row r="30" spans="1:16" s="7" customFormat="1" ht="12.75">
      <c r="A30" s="147">
        <v>18</v>
      </c>
      <c r="B30" s="64" t="s">
        <v>71</v>
      </c>
      <c r="C30" s="112" t="s">
        <v>126</v>
      </c>
      <c r="D30" s="87" t="s">
        <v>9</v>
      </c>
      <c r="E30" s="89">
        <f>E27</f>
        <v>212.6</v>
      </c>
      <c r="F30" s="79"/>
      <c r="G30" s="89"/>
      <c r="H30" s="89"/>
      <c r="I30" s="89"/>
      <c r="J30" s="66"/>
      <c r="K30" s="89"/>
      <c r="L30" s="89"/>
      <c r="M30" s="89"/>
      <c r="N30" s="89"/>
      <c r="O30" s="89"/>
      <c r="P30" s="161"/>
    </row>
    <row r="31" spans="1:16" s="7" customFormat="1" ht="12.75">
      <c r="A31" s="147">
        <v>19</v>
      </c>
      <c r="B31" s="62" t="s">
        <v>105</v>
      </c>
      <c r="C31" s="112" t="s">
        <v>127</v>
      </c>
      <c r="D31" s="87" t="s">
        <v>9</v>
      </c>
      <c r="E31" s="89">
        <f>E27</f>
        <v>212.6</v>
      </c>
      <c r="F31" s="89"/>
      <c r="G31" s="89"/>
      <c r="H31" s="89"/>
      <c r="I31" s="89"/>
      <c r="J31" s="66"/>
      <c r="K31" s="89"/>
      <c r="L31" s="89"/>
      <c r="M31" s="89"/>
      <c r="N31" s="89"/>
      <c r="O31" s="89"/>
      <c r="P31" s="161"/>
    </row>
    <row r="32" spans="1:16" s="7" customFormat="1" ht="12.75">
      <c r="A32" s="147">
        <v>20</v>
      </c>
      <c r="B32" s="64" t="s">
        <v>8</v>
      </c>
      <c r="C32" s="86" t="s">
        <v>81</v>
      </c>
      <c r="D32" s="87" t="s">
        <v>9</v>
      </c>
      <c r="E32" s="111">
        <v>212.6</v>
      </c>
      <c r="F32" s="88"/>
      <c r="G32" s="89"/>
      <c r="H32" s="88"/>
      <c r="I32" s="88"/>
      <c r="J32" s="66"/>
      <c r="K32" s="89"/>
      <c r="L32" s="89"/>
      <c r="M32" s="89"/>
      <c r="N32" s="89"/>
      <c r="O32" s="89"/>
      <c r="P32" s="161"/>
    </row>
    <row r="33" spans="1:16" s="7" customFormat="1" ht="15.75">
      <c r="A33" s="147">
        <v>21</v>
      </c>
      <c r="B33" s="64" t="s">
        <v>6</v>
      </c>
      <c r="C33" s="112" t="s">
        <v>80</v>
      </c>
      <c r="D33" s="80" t="s">
        <v>66</v>
      </c>
      <c r="E33" s="89">
        <f>E32*0.55</f>
        <v>116.93</v>
      </c>
      <c r="F33" s="89"/>
      <c r="G33" s="89"/>
      <c r="H33" s="89"/>
      <c r="I33" s="89"/>
      <c r="J33" s="66"/>
      <c r="K33" s="89"/>
      <c r="L33" s="89"/>
      <c r="M33" s="89"/>
      <c r="N33" s="89"/>
      <c r="O33" s="89"/>
      <c r="P33" s="161"/>
    </row>
    <row r="34" spans="1:16" s="7" customFormat="1" ht="15.75">
      <c r="A34" s="147">
        <v>22</v>
      </c>
      <c r="B34" s="64" t="s">
        <v>6</v>
      </c>
      <c r="C34" s="90" t="s">
        <v>74</v>
      </c>
      <c r="D34" s="80" t="s">
        <v>66</v>
      </c>
      <c r="E34" s="89">
        <f>E33</f>
        <v>116.93</v>
      </c>
      <c r="F34" s="89"/>
      <c r="G34" s="89"/>
      <c r="H34" s="89"/>
      <c r="I34" s="89"/>
      <c r="J34" s="66"/>
      <c r="K34" s="89"/>
      <c r="L34" s="89"/>
      <c r="M34" s="89"/>
      <c r="N34" s="89"/>
      <c r="O34" s="89"/>
      <c r="P34" s="161"/>
    </row>
    <row r="35" spans="1:16" s="7" customFormat="1" ht="12.75">
      <c r="A35" s="147">
        <v>23</v>
      </c>
      <c r="B35" s="64" t="s">
        <v>6</v>
      </c>
      <c r="C35" s="90" t="s">
        <v>117</v>
      </c>
      <c r="D35" s="87" t="s">
        <v>9</v>
      </c>
      <c r="E35" s="111">
        <f>E32</f>
        <v>212.6</v>
      </c>
      <c r="F35" s="89"/>
      <c r="G35" s="89"/>
      <c r="H35" s="89"/>
      <c r="I35" s="89"/>
      <c r="J35" s="66"/>
      <c r="K35" s="89"/>
      <c r="L35" s="89"/>
      <c r="M35" s="89"/>
      <c r="N35" s="89"/>
      <c r="O35" s="89"/>
      <c r="P35" s="161"/>
    </row>
    <row r="36" spans="1:16" s="7" customFormat="1" ht="15.75">
      <c r="A36" s="147">
        <v>24</v>
      </c>
      <c r="B36" s="64" t="s">
        <v>6</v>
      </c>
      <c r="C36" s="91" t="s">
        <v>118</v>
      </c>
      <c r="D36" s="80" t="s">
        <v>66</v>
      </c>
      <c r="E36" s="77">
        <f>E35*0.1</f>
        <v>21.26</v>
      </c>
      <c r="F36" s="89"/>
      <c r="G36" s="70"/>
      <c r="H36" s="89"/>
      <c r="I36" s="70"/>
      <c r="J36" s="66"/>
      <c r="K36" s="89"/>
      <c r="L36" s="89"/>
      <c r="M36" s="89"/>
      <c r="N36" s="89"/>
      <c r="O36" s="89"/>
      <c r="P36" s="161"/>
    </row>
    <row r="37" spans="1:16" customFormat="1" ht="15" customHeight="1">
      <c r="A37" s="147">
        <v>25</v>
      </c>
      <c r="B37" s="64" t="s">
        <v>6</v>
      </c>
      <c r="C37" s="90" t="s">
        <v>119</v>
      </c>
      <c r="D37" s="80" t="s">
        <v>66</v>
      </c>
      <c r="E37" s="89">
        <f>E33*0.05</f>
        <v>5.85</v>
      </c>
      <c r="F37" s="89"/>
      <c r="G37" s="89"/>
      <c r="H37" s="89"/>
      <c r="I37" s="89"/>
      <c r="J37" s="66"/>
      <c r="K37" s="89"/>
      <c r="L37" s="89"/>
      <c r="M37" s="89"/>
      <c r="N37" s="89"/>
      <c r="O37" s="89"/>
      <c r="P37" s="161"/>
    </row>
    <row r="38" spans="1:16" s="7" customFormat="1" ht="12.75">
      <c r="A38" s="117">
        <v>26</v>
      </c>
      <c r="B38" s="64" t="s">
        <v>84</v>
      </c>
      <c r="C38" s="118" t="s">
        <v>120</v>
      </c>
      <c r="D38" s="10" t="s">
        <v>9</v>
      </c>
      <c r="E38" s="111">
        <v>212.6</v>
      </c>
      <c r="F38" s="71"/>
      <c r="G38" s="82"/>
      <c r="H38" s="71"/>
      <c r="I38" s="70"/>
      <c r="J38" s="71"/>
      <c r="K38" s="70"/>
      <c r="L38" s="70"/>
      <c r="M38" s="70"/>
      <c r="N38" s="70"/>
      <c r="O38" s="70"/>
      <c r="P38" s="119"/>
    </row>
    <row r="39" spans="1:16" customFormat="1" ht="15" customHeight="1">
      <c r="A39" s="147">
        <v>27</v>
      </c>
      <c r="B39" s="64" t="s">
        <v>84</v>
      </c>
      <c r="C39" s="166" t="s">
        <v>128</v>
      </c>
      <c r="D39" s="10" t="s">
        <v>9</v>
      </c>
      <c r="E39" s="111">
        <v>212.6</v>
      </c>
      <c r="F39" s="66"/>
      <c r="G39" s="82"/>
      <c r="H39" s="71"/>
      <c r="I39" s="66"/>
      <c r="J39" s="71"/>
      <c r="K39" s="70"/>
      <c r="L39" s="89"/>
      <c r="M39" s="89"/>
      <c r="N39" s="89"/>
      <c r="O39" s="89"/>
      <c r="P39" s="161"/>
    </row>
    <row r="40" spans="1:16" customFormat="1" ht="15" customHeight="1">
      <c r="A40" s="147">
        <v>28</v>
      </c>
      <c r="B40" s="64" t="s">
        <v>84</v>
      </c>
      <c r="C40" s="92" t="s">
        <v>129</v>
      </c>
      <c r="D40" s="87" t="s">
        <v>9</v>
      </c>
      <c r="E40" s="77">
        <f>E32</f>
        <v>212.6</v>
      </c>
      <c r="F40" s="71"/>
      <c r="G40" s="70"/>
      <c r="H40" s="89"/>
      <c r="I40" s="70"/>
      <c r="J40" s="66"/>
      <c r="K40" s="89"/>
      <c r="L40" s="89"/>
      <c r="M40" s="89"/>
      <c r="N40" s="89"/>
      <c r="O40" s="89"/>
      <c r="P40" s="161"/>
    </row>
    <row r="41" spans="1:16" customFormat="1" ht="15" customHeight="1">
      <c r="A41" s="147">
        <v>29</v>
      </c>
      <c r="B41" s="64" t="s">
        <v>84</v>
      </c>
      <c r="C41" s="75" t="s">
        <v>131</v>
      </c>
      <c r="D41" s="80" t="s">
        <v>66</v>
      </c>
      <c r="E41" s="77">
        <f>E27*0.2</f>
        <v>42.52</v>
      </c>
      <c r="F41" s="71"/>
      <c r="G41" s="70"/>
      <c r="H41" s="89"/>
      <c r="I41" s="66"/>
      <c r="J41" s="66"/>
      <c r="K41" s="89"/>
      <c r="L41" s="89"/>
      <c r="M41" s="89"/>
      <c r="N41" s="89"/>
      <c r="O41" s="89"/>
      <c r="P41" s="161"/>
    </row>
    <row r="42" spans="1:16">
      <c r="A42" s="117">
        <v>30</v>
      </c>
      <c r="B42" s="62" t="s">
        <v>105</v>
      </c>
      <c r="C42" s="166" t="s">
        <v>130</v>
      </c>
      <c r="D42" s="87" t="s">
        <v>9</v>
      </c>
      <c r="E42" s="77">
        <f>E32</f>
        <v>212.6</v>
      </c>
      <c r="F42" s="66"/>
      <c r="G42" s="70"/>
      <c r="H42" s="89"/>
      <c r="I42" s="66"/>
      <c r="J42" s="66"/>
      <c r="K42" s="70"/>
      <c r="L42" s="70"/>
      <c r="M42" s="70"/>
      <c r="N42" s="70"/>
      <c r="O42" s="70"/>
      <c r="P42" s="119"/>
    </row>
    <row r="43" spans="1:16">
      <c r="A43" s="147">
        <v>31</v>
      </c>
      <c r="B43" s="62" t="s">
        <v>105</v>
      </c>
      <c r="C43" s="98" t="s">
        <v>152</v>
      </c>
      <c r="D43" s="10" t="s">
        <v>44</v>
      </c>
      <c r="E43" s="291">
        <v>1</v>
      </c>
      <c r="F43" s="66"/>
      <c r="G43" s="82"/>
      <c r="H43" s="89"/>
      <c r="I43" s="66"/>
      <c r="J43" s="66"/>
      <c r="K43" s="69"/>
      <c r="L43" s="82"/>
      <c r="M43" s="82"/>
      <c r="N43" s="82"/>
      <c r="O43" s="82"/>
      <c r="P43" s="148"/>
    </row>
    <row r="44" spans="1:16">
      <c r="A44" s="164">
        <v>32</v>
      </c>
      <c r="B44" s="62" t="s">
        <v>105</v>
      </c>
      <c r="C44" s="98" t="s">
        <v>121</v>
      </c>
      <c r="D44" s="99" t="s">
        <v>44</v>
      </c>
      <c r="E44" s="293">
        <v>15</v>
      </c>
      <c r="F44" s="71"/>
      <c r="G44" s="81"/>
      <c r="H44" s="89"/>
      <c r="I44" s="71"/>
      <c r="J44" s="66"/>
      <c r="K44" s="66"/>
      <c r="L44" s="66"/>
      <c r="M44" s="66"/>
      <c r="N44" s="66"/>
      <c r="O44" s="66"/>
      <c r="P44" s="156"/>
    </row>
    <row r="45" spans="1:16" customFormat="1" ht="15" customHeight="1">
      <c r="A45" s="147"/>
      <c r="B45" s="10"/>
      <c r="C45" s="68" t="s">
        <v>116</v>
      </c>
      <c r="D45" s="10"/>
      <c r="E45" s="74"/>
      <c r="F45" s="69"/>
      <c r="G45" s="82"/>
      <c r="H45" s="69"/>
      <c r="I45" s="69"/>
      <c r="J45" s="69"/>
      <c r="K45" s="69"/>
      <c r="L45" s="69"/>
      <c r="M45" s="69"/>
      <c r="N45" s="69"/>
      <c r="O45" s="69"/>
      <c r="P45" s="163"/>
    </row>
    <row r="46" spans="1:16" s="7" customFormat="1" ht="12.75">
      <c r="A46" s="147">
        <v>33</v>
      </c>
      <c r="B46" s="64" t="s">
        <v>8</v>
      </c>
      <c r="C46" s="86" t="s">
        <v>145</v>
      </c>
      <c r="D46" s="87" t="s">
        <v>9</v>
      </c>
      <c r="E46" s="111">
        <f>43.3-8.31</f>
        <v>34.99</v>
      </c>
      <c r="F46" s="88"/>
      <c r="G46" s="89"/>
      <c r="H46" s="71"/>
      <c r="I46" s="88"/>
      <c r="J46" s="66"/>
      <c r="K46" s="89"/>
      <c r="L46" s="89"/>
      <c r="M46" s="89"/>
      <c r="N46" s="89"/>
      <c r="O46" s="89"/>
      <c r="P46" s="161"/>
    </row>
    <row r="47" spans="1:16" s="7" customFormat="1" ht="12.75">
      <c r="A47" s="147">
        <v>34</v>
      </c>
      <c r="B47" s="64" t="s">
        <v>71</v>
      </c>
      <c r="C47" s="112" t="s">
        <v>125</v>
      </c>
      <c r="D47" s="87" t="s">
        <v>9</v>
      </c>
      <c r="E47" s="89">
        <f>E46</f>
        <v>34.99</v>
      </c>
      <c r="F47" s="89"/>
      <c r="G47" s="89"/>
      <c r="H47" s="89"/>
      <c r="I47" s="89"/>
      <c r="J47" s="66"/>
      <c r="K47" s="89"/>
      <c r="L47" s="89"/>
      <c r="M47" s="89"/>
      <c r="N47" s="89"/>
      <c r="O47" s="89"/>
      <c r="P47" s="161"/>
    </row>
    <row r="48" spans="1:16" s="7" customFormat="1" ht="12.75">
      <c r="A48" s="147">
        <v>35</v>
      </c>
      <c r="B48" s="64" t="s">
        <v>71</v>
      </c>
      <c r="C48" s="112" t="s">
        <v>126</v>
      </c>
      <c r="D48" s="87" t="s">
        <v>9</v>
      </c>
      <c r="E48" s="89">
        <f>E46</f>
        <v>34.99</v>
      </c>
      <c r="F48" s="79"/>
      <c r="G48" s="89"/>
      <c r="H48" s="89"/>
      <c r="I48" s="89"/>
      <c r="J48" s="66"/>
      <c r="K48" s="89"/>
      <c r="L48" s="89"/>
      <c r="M48" s="89"/>
      <c r="N48" s="89"/>
      <c r="O48" s="89"/>
      <c r="P48" s="161"/>
    </row>
    <row r="49" spans="1:16">
      <c r="A49" s="147">
        <v>36</v>
      </c>
      <c r="B49" s="64" t="s">
        <v>71</v>
      </c>
      <c r="C49" s="51" t="s">
        <v>141</v>
      </c>
      <c r="D49" s="10" t="s">
        <v>9</v>
      </c>
      <c r="E49" s="120">
        <f>E48</f>
        <v>34.99</v>
      </c>
      <c r="F49" s="65"/>
      <c r="G49" s="65"/>
      <c r="H49" s="66"/>
      <c r="I49" s="66"/>
      <c r="J49" s="66"/>
      <c r="K49" s="71"/>
      <c r="L49" s="89"/>
      <c r="M49" s="89"/>
      <c r="N49" s="89"/>
      <c r="O49" s="89"/>
      <c r="P49" s="161"/>
    </row>
    <row r="50" spans="1:16" s="7" customFormat="1" ht="12.75">
      <c r="A50" s="147">
        <v>37</v>
      </c>
      <c r="B50" s="62" t="s">
        <v>105</v>
      </c>
      <c r="C50" s="112" t="s">
        <v>142</v>
      </c>
      <c r="D50" s="87" t="s">
        <v>9</v>
      </c>
      <c r="E50" s="89">
        <f>E46</f>
        <v>34.99</v>
      </c>
      <c r="F50" s="89"/>
      <c r="G50" s="89"/>
      <c r="H50" s="89"/>
      <c r="I50" s="89"/>
      <c r="J50" s="66"/>
      <c r="K50" s="89"/>
      <c r="L50" s="89"/>
      <c r="M50" s="89"/>
      <c r="N50" s="89"/>
      <c r="O50" s="89"/>
      <c r="P50" s="161"/>
    </row>
    <row r="51" spans="1:16" s="7" customFormat="1" ht="14.25" customHeight="1">
      <c r="A51" s="147">
        <v>38</v>
      </c>
      <c r="B51" s="64" t="s">
        <v>8</v>
      </c>
      <c r="C51" s="86" t="s">
        <v>81</v>
      </c>
      <c r="D51" s="87" t="s">
        <v>9</v>
      </c>
      <c r="E51" s="111">
        <f>E46</f>
        <v>34.99</v>
      </c>
      <c r="F51" s="88"/>
      <c r="G51" s="89"/>
      <c r="H51" s="89"/>
      <c r="I51" s="88"/>
      <c r="J51" s="66"/>
      <c r="K51" s="89"/>
      <c r="L51" s="89"/>
      <c r="M51" s="89"/>
      <c r="N51" s="89"/>
      <c r="O51" s="89"/>
      <c r="P51" s="161"/>
    </row>
    <row r="52" spans="1:16" s="7" customFormat="1" ht="14.25" customHeight="1">
      <c r="A52" s="147">
        <v>39</v>
      </c>
      <c r="B52" s="64" t="s">
        <v>6</v>
      </c>
      <c r="C52" s="112" t="s">
        <v>80</v>
      </c>
      <c r="D52" s="80" t="s">
        <v>66</v>
      </c>
      <c r="E52" s="89">
        <f>E51*0.55</f>
        <v>19.239999999999998</v>
      </c>
      <c r="F52" s="89"/>
      <c r="G52" s="89"/>
      <c r="H52" s="89"/>
      <c r="I52" s="89"/>
      <c r="J52" s="66"/>
      <c r="K52" s="89"/>
      <c r="L52" s="89"/>
      <c r="M52" s="89"/>
      <c r="N52" s="89"/>
      <c r="O52" s="89"/>
      <c r="P52" s="161"/>
    </row>
    <row r="53" spans="1:16" s="7" customFormat="1" ht="14.25" customHeight="1">
      <c r="A53" s="147">
        <v>40</v>
      </c>
      <c r="B53" s="64" t="s">
        <v>6</v>
      </c>
      <c r="C53" s="90" t="s">
        <v>74</v>
      </c>
      <c r="D53" s="80" t="s">
        <v>66</v>
      </c>
      <c r="E53" s="89">
        <f>E52</f>
        <v>19.239999999999998</v>
      </c>
      <c r="F53" s="89"/>
      <c r="G53" s="89"/>
      <c r="H53" s="89"/>
      <c r="I53" s="89"/>
      <c r="J53" s="66"/>
      <c r="K53" s="89"/>
      <c r="L53" s="89"/>
      <c r="M53" s="89"/>
      <c r="N53" s="89"/>
      <c r="O53" s="89"/>
      <c r="P53" s="161"/>
    </row>
    <row r="54" spans="1:16" s="7" customFormat="1" ht="14.25" customHeight="1">
      <c r="A54" s="147">
        <v>41</v>
      </c>
      <c r="B54" s="64" t="s">
        <v>6</v>
      </c>
      <c r="C54" s="90" t="s">
        <v>117</v>
      </c>
      <c r="D54" s="87" t="s">
        <v>9</v>
      </c>
      <c r="E54" s="111">
        <f>E51</f>
        <v>34.99</v>
      </c>
      <c r="F54" s="89"/>
      <c r="G54" s="89"/>
      <c r="H54" s="89"/>
      <c r="I54" s="89"/>
      <c r="J54" s="66"/>
      <c r="K54" s="89"/>
      <c r="L54" s="89"/>
      <c r="M54" s="89"/>
      <c r="N54" s="89"/>
      <c r="O54" s="89"/>
      <c r="P54" s="161"/>
    </row>
    <row r="55" spans="1:16" s="7" customFormat="1" ht="14.25" customHeight="1">
      <c r="A55" s="147">
        <v>42</v>
      </c>
      <c r="B55" s="64" t="s">
        <v>6</v>
      </c>
      <c r="C55" s="91" t="s">
        <v>118</v>
      </c>
      <c r="D55" s="80" t="s">
        <v>66</v>
      </c>
      <c r="E55" s="77">
        <f>E54*0.1</f>
        <v>3.5</v>
      </c>
      <c r="F55" s="89"/>
      <c r="G55" s="70"/>
      <c r="H55" s="89"/>
      <c r="I55" s="70"/>
      <c r="J55" s="66"/>
      <c r="K55" s="89"/>
      <c r="L55" s="89"/>
      <c r="M55" s="89"/>
      <c r="N55" s="89"/>
      <c r="O55" s="89"/>
      <c r="P55" s="161"/>
    </row>
    <row r="56" spans="1:16" s="7" customFormat="1" ht="14.25" customHeight="1">
      <c r="A56" s="147">
        <v>43</v>
      </c>
      <c r="B56" s="64" t="s">
        <v>6</v>
      </c>
      <c r="C56" s="90" t="s">
        <v>119</v>
      </c>
      <c r="D56" s="80" t="s">
        <v>66</v>
      </c>
      <c r="E56" s="89">
        <f>E52*0.05</f>
        <v>0.96</v>
      </c>
      <c r="F56" s="89"/>
      <c r="G56" s="89"/>
      <c r="H56" s="89"/>
      <c r="I56" s="89"/>
      <c r="J56" s="66"/>
      <c r="K56" s="89"/>
      <c r="L56" s="89"/>
      <c r="M56" s="89"/>
      <c r="N56" s="89"/>
      <c r="O56" s="89"/>
      <c r="P56" s="161"/>
    </row>
    <row r="57" spans="1:16" s="7" customFormat="1" ht="14.25" customHeight="1">
      <c r="A57" s="117">
        <v>44</v>
      </c>
      <c r="B57" s="64" t="s">
        <v>84</v>
      </c>
      <c r="C57" s="118" t="s">
        <v>120</v>
      </c>
      <c r="D57" s="10" t="s">
        <v>9</v>
      </c>
      <c r="E57" s="111">
        <f>E51</f>
        <v>34.99</v>
      </c>
      <c r="F57" s="71"/>
      <c r="G57" s="82"/>
      <c r="H57" s="71"/>
      <c r="I57" s="70"/>
      <c r="J57" s="71"/>
      <c r="K57" s="70"/>
      <c r="L57" s="70"/>
      <c r="M57" s="70"/>
      <c r="N57" s="70"/>
      <c r="O57" s="70"/>
      <c r="P57" s="119"/>
    </row>
    <row r="58" spans="1:16" s="7" customFormat="1" ht="14.25" customHeight="1">
      <c r="A58" s="147">
        <v>45</v>
      </c>
      <c r="B58" s="64" t="s">
        <v>84</v>
      </c>
      <c r="C58" s="166" t="s">
        <v>128</v>
      </c>
      <c r="D58" s="10" t="s">
        <v>9</v>
      </c>
      <c r="E58" s="111">
        <f>E51</f>
        <v>34.99</v>
      </c>
      <c r="F58" s="66"/>
      <c r="G58" s="82"/>
      <c r="H58" s="71"/>
      <c r="I58" s="66"/>
      <c r="J58" s="71"/>
      <c r="K58" s="70"/>
      <c r="L58" s="89"/>
      <c r="M58" s="89"/>
      <c r="N58" s="89"/>
      <c r="O58" s="89"/>
      <c r="P58" s="161"/>
    </row>
    <row r="59" spans="1:16" s="7" customFormat="1" ht="14.25" customHeight="1">
      <c r="A59" s="147">
        <v>46</v>
      </c>
      <c r="B59" s="64" t="s">
        <v>84</v>
      </c>
      <c r="C59" s="92" t="s">
        <v>129</v>
      </c>
      <c r="D59" s="87" t="s">
        <v>9</v>
      </c>
      <c r="E59" s="77">
        <f>E51</f>
        <v>34.99</v>
      </c>
      <c r="F59" s="71"/>
      <c r="G59" s="70"/>
      <c r="H59" s="89"/>
      <c r="I59" s="70"/>
      <c r="J59" s="66"/>
      <c r="K59" s="89"/>
      <c r="L59" s="89"/>
      <c r="M59" s="89"/>
      <c r="N59" s="89"/>
      <c r="O59" s="89"/>
      <c r="P59" s="161"/>
    </row>
    <row r="60" spans="1:16" s="7" customFormat="1" ht="14.25" customHeight="1">
      <c r="A60" s="147">
        <v>47</v>
      </c>
      <c r="B60" s="64" t="s">
        <v>84</v>
      </c>
      <c r="C60" s="75" t="s">
        <v>131</v>
      </c>
      <c r="D60" s="80" t="s">
        <v>66</v>
      </c>
      <c r="E60" s="77">
        <f>E46*0.2</f>
        <v>7</v>
      </c>
      <c r="F60" s="71"/>
      <c r="G60" s="70"/>
      <c r="H60" s="89"/>
      <c r="I60" s="66"/>
      <c r="J60" s="66"/>
      <c r="K60" s="89"/>
      <c r="L60" s="89"/>
      <c r="M60" s="89"/>
      <c r="N60" s="89"/>
      <c r="O60" s="89"/>
      <c r="P60" s="161"/>
    </row>
    <row r="61" spans="1:16" s="7" customFormat="1" ht="14.25" customHeight="1">
      <c r="A61" s="117">
        <v>48</v>
      </c>
      <c r="B61" s="62" t="s">
        <v>105</v>
      </c>
      <c r="C61" s="166" t="s">
        <v>130</v>
      </c>
      <c r="D61" s="87" t="s">
        <v>9</v>
      </c>
      <c r="E61" s="77">
        <f>E51</f>
        <v>34.99</v>
      </c>
      <c r="F61" s="66"/>
      <c r="G61" s="70"/>
      <c r="H61" s="89"/>
      <c r="I61" s="66"/>
      <c r="J61" s="66"/>
      <c r="K61" s="70"/>
      <c r="L61" s="70"/>
      <c r="M61" s="70"/>
      <c r="N61" s="70"/>
      <c r="O61" s="70"/>
      <c r="P61" s="119"/>
    </row>
    <row r="62" spans="1:16" s="7" customFormat="1" ht="14.25" customHeight="1">
      <c r="A62" s="165">
        <v>49</v>
      </c>
      <c r="B62" s="64" t="s">
        <v>138</v>
      </c>
      <c r="C62" s="51" t="s">
        <v>144</v>
      </c>
      <c r="D62" s="80" t="s">
        <v>66</v>
      </c>
      <c r="E62" s="66">
        <f>0.5*1.8*2.1</f>
        <v>1.89</v>
      </c>
      <c r="F62" s="66"/>
      <c r="G62" s="81"/>
      <c r="H62" s="66"/>
      <c r="I62" s="66"/>
      <c r="J62" s="66"/>
      <c r="K62" s="66"/>
      <c r="L62" s="89"/>
      <c r="M62" s="89"/>
      <c r="N62" s="89"/>
      <c r="O62" s="89"/>
      <c r="P62" s="161"/>
    </row>
    <row r="63" spans="1:16" customFormat="1" ht="15" customHeight="1">
      <c r="A63" s="117">
        <v>50</v>
      </c>
      <c r="B63" s="62" t="s">
        <v>105</v>
      </c>
      <c r="C63" s="110" t="s">
        <v>112</v>
      </c>
      <c r="D63" s="10" t="s">
        <v>9</v>
      </c>
      <c r="E63" s="111">
        <f>(5.675*2+3.5)*3.8</f>
        <v>56.43</v>
      </c>
      <c r="F63" s="71"/>
      <c r="G63" s="82"/>
      <c r="H63" s="70"/>
      <c r="I63" s="70"/>
      <c r="J63" s="70"/>
      <c r="K63" s="70"/>
      <c r="L63" s="70"/>
      <c r="M63" s="70"/>
      <c r="N63" s="70"/>
      <c r="O63" s="70"/>
      <c r="P63" s="119"/>
    </row>
    <row r="64" spans="1:16">
      <c r="A64" s="117">
        <v>51</v>
      </c>
      <c r="B64" s="62" t="s">
        <v>105</v>
      </c>
      <c r="C64" s="118" t="s">
        <v>110</v>
      </c>
      <c r="D64" s="10" t="s">
        <v>9</v>
      </c>
      <c r="E64" s="111">
        <f>E63</f>
        <v>56.43</v>
      </c>
      <c r="F64" s="71"/>
      <c r="G64" s="82"/>
      <c r="H64" s="71"/>
      <c r="I64" s="70"/>
      <c r="J64" s="71"/>
      <c r="K64" s="70"/>
      <c r="L64" s="70"/>
      <c r="M64" s="70"/>
      <c r="N64" s="70"/>
      <c r="O64" s="70"/>
      <c r="P64" s="119"/>
    </row>
    <row r="65" spans="1:16">
      <c r="A65" s="117">
        <v>52</v>
      </c>
      <c r="B65" s="62" t="s">
        <v>105</v>
      </c>
      <c r="C65" s="118" t="s">
        <v>111</v>
      </c>
      <c r="D65" s="10" t="s">
        <v>9</v>
      </c>
      <c r="E65" s="111">
        <f>E63</f>
        <v>56.43</v>
      </c>
      <c r="F65" s="71"/>
      <c r="G65" s="82"/>
      <c r="H65" s="71"/>
      <c r="I65" s="70"/>
      <c r="J65" s="71"/>
      <c r="K65" s="70"/>
      <c r="L65" s="70"/>
      <c r="M65" s="70"/>
      <c r="N65" s="70"/>
      <c r="O65" s="70"/>
      <c r="P65" s="119"/>
    </row>
    <row r="66" spans="1:16">
      <c r="A66" s="117">
        <v>53</v>
      </c>
      <c r="B66" s="62" t="s">
        <v>105</v>
      </c>
      <c r="C66" s="118" t="s">
        <v>136</v>
      </c>
      <c r="D66" s="10" t="s">
        <v>9</v>
      </c>
      <c r="E66" s="111">
        <f>E63</f>
        <v>56.43</v>
      </c>
      <c r="F66" s="71"/>
      <c r="G66" s="82"/>
      <c r="H66" s="71"/>
      <c r="I66" s="70"/>
      <c r="J66" s="71"/>
      <c r="K66" s="70"/>
      <c r="L66" s="70"/>
      <c r="M66" s="70"/>
      <c r="N66" s="70"/>
      <c r="O66" s="70"/>
      <c r="P66" s="119"/>
    </row>
    <row r="67" spans="1:16" ht="25.5">
      <c r="A67" s="147">
        <v>54</v>
      </c>
      <c r="B67" s="64" t="s">
        <v>71</v>
      </c>
      <c r="C67" s="51" t="s">
        <v>143</v>
      </c>
      <c r="D67" s="10" t="s">
        <v>9</v>
      </c>
      <c r="E67" s="120">
        <f>15.1*3.8</f>
        <v>57.38</v>
      </c>
      <c r="F67" s="71"/>
      <c r="G67" s="70"/>
      <c r="H67" s="81"/>
      <c r="I67" s="71"/>
      <c r="J67" s="66"/>
      <c r="K67" s="82"/>
      <c r="L67" s="82"/>
      <c r="M67" s="82"/>
      <c r="N67" s="82"/>
      <c r="O67" s="82"/>
      <c r="P67" s="119"/>
    </row>
    <row r="68" spans="1:16">
      <c r="A68" s="117">
        <v>55</v>
      </c>
      <c r="B68" s="62" t="s">
        <v>105</v>
      </c>
      <c r="C68" s="118" t="s">
        <v>110</v>
      </c>
      <c r="D68" s="10" t="s">
        <v>9</v>
      </c>
      <c r="E68" s="111">
        <f>E67*2</f>
        <v>114.76</v>
      </c>
      <c r="F68" s="71"/>
      <c r="G68" s="82"/>
      <c r="H68" s="71"/>
      <c r="I68" s="70"/>
      <c r="J68" s="71"/>
      <c r="K68" s="70"/>
      <c r="L68" s="70"/>
      <c r="M68" s="70"/>
      <c r="N68" s="70"/>
      <c r="O68" s="70"/>
      <c r="P68" s="119"/>
    </row>
    <row r="69" spans="1:16">
      <c r="A69" s="117">
        <v>56</v>
      </c>
      <c r="B69" s="62" t="s">
        <v>105</v>
      </c>
      <c r="C69" s="118" t="s">
        <v>111</v>
      </c>
      <c r="D69" s="10" t="s">
        <v>9</v>
      </c>
      <c r="E69" s="111">
        <f>E68</f>
        <v>114.76</v>
      </c>
      <c r="F69" s="71"/>
      <c r="G69" s="82"/>
      <c r="H69" s="71"/>
      <c r="I69" s="70"/>
      <c r="J69" s="71"/>
      <c r="K69" s="70"/>
      <c r="L69" s="70"/>
      <c r="M69" s="70"/>
      <c r="N69" s="70"/>
      <c r="O69" s="70"/>
      <c r="P69" s="119"/>
    </row>
    <row r="70" spans="1:16">
      <c r="A70" s="117">
        <v>57</v>
      </c>
      <c r="B70" s="62" t="s">
        <v>105</v>
      </c>
      <c r="C70" s="118" t="s">
        <v>136</v>
      </c>
      <c r="D70" s="10" t="s">
        <v>9</v>
      </c>
      <c r="E70" s="111">
        <f>E68</f>
        <v>114.76</v>
      </c>
      <c r="F70" s="71"/>
      <c r="G70" s="82"/>
      <c r="H70" s="71"/>
      <c r="I70" s="70"/>
      <c r="J70" s="71"/>
      <c r="K70" s="70"/>
      <c r="L70" s="70"/>
      <c r="M70" s="70"/>
      <c r="N70" s="70"/>
      <c r="O70" s="70"/>
      <c r="P70" s="119"/>
    </row>
    <row r="71" spans="1:16">
      <c r="A71" s="147">
        <v>58</v>
      </c>
      <c r="B71" s="62" t="s">
        <v>105</v>
      </c>
      <c r="C71" s="98" t="s">
        <v>189</v>
      </c>
      <c r="D71" s="10" t="s">
        <v>44</v>
      </c>
      <c r="E71" s="167">
        <v>4</v>
      </c>
      <c r="F71" s="66"/>
      <c r="G71" s="82"/>
      <c r="H71" s="71"/>
      <c r="I71" s="66"/>
      <c r="J71" s="66"/>
      <c r="K71" s="82"/>
      <c r="L71" s="82"/>
      <c r="M71" s="82"/>
      <c r="N71" s="82"/>
      <c r="O71" s="82"/>
      <c r="P71" s="148"/>
    </row>
    <row r="72" spans="1:16">
      <c r="A72" s="164">
        <v>59</v>
      </c>
      <c r="B72" s="62" t="s">
        <v>105</v>
      </c>
      <c r="C72" s="98" t="s">
        <v>121</v>
      </c>
      <c r="D72" s="99" t="s">
        <v>44</v>
      </c>
      <c r="E72" s="113">
        <v>1</v>
      </c>
      <c r="F72" s="71"/>
      <c r="G72" s="81"/>
      <c r="H72" s="11"/>
      <c r="I72" s="71"/>
      <c r="J72" s="66"/>
      <c r="K72" s="66"/>
      <c r="L72" s="82"/>
      <c r="M72" s="82"/>
      <c r="N72" s="82"/>
      <c r="O72" s="82"/>
      <c r="P72" s="148"/>
    </row>
    <row r="73" spans="1:16" customFormat="1" ht="15" customHeight="1">
      <c r="A73" s="164">
        <v>60</v>
      </c>
      <c r="B73" s="62" t="s">
        <v>105</v>
      </c>
      <c r="C73" s="98" t="s">
        <v>151</v>
      </c>
      <c r="D73" s="99" t="s">
        <v>73</v>
      </c>
      <c r="E73" s="100">
        <v>1</v>
      </c>
      <c r="F73" s="71"/>
      <c r="G73" s="81"/>
      <c r="H73" s="11"/>
      <c r="I73" s="71"/>
      <c r="J73" s="66"/>
      <c r="K73" s="66"/>
      <c r="L73" s="82"/>
      <c r="M73" s="82"/>
      <c r="N73" s="82"/>
      <c r="O73" s="82"/>
      <c r="P73" s="148"/>
    </row>
    <row r="74" spans="1:16" s="105" customFormat="1" ht="12.75">
      <c r="A74" s="147"/>
      <c r="B74" s="10"/>
      <c r="C74" s="68" t="s">
        <v>146</v>
      </c>
      <c r="D74" s="10"/>
      <c r="E74" s="74"/>
      <c r="F74" s="69"/>
      <c r="G74" s="82"/>
      <c r="H74" s="69"/>
      <c r="I74" s="69"/>
      <c r="J74" s="69"/>
      <c r="K74" s="69"/>
      <c r="L74" s="69"/>
      <c r="M74" s="69"/>
      <c r="N74" s="69"/>
      <c r="O74" s="69"/>
      <c r="P74" s="163"/>
    </row>
    <row r="75" spans="1:16">
      <c r="A75" s="117">
        <v>60</v>
      </c>
      <c r="B75" s="64" t="s">
        <v>8</v>
      </c>
      <c r="C75" s="110" t="s">
        <v>100</v>
      </c>
      <c r="D75" s="10" t="s">
        <v>9</v>
      </c>
      <c r="E75" s="111">
        <f>E76</f>
        <v>101</v>
      </c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162"/>
    </row>
    <row r="76" spans="1:16" customFormat="1" ht="15" customHeight="1">
      <c r="A76" s="147">
        <v>61</v>
      </c>
      <c r="B76" s="64" t="s">
        <v>67</v>
      </c>
      <c r="C76" s="51" t="s">
        <v>147</v>
      </c>
      <c r="D76" s="10" t="s">
        <v>9</v>
      </c>
      <c r="E76" s="71">
        <v>101</v>
      </c>
      <c r="F76" s="70"/>
      <c r="G76" s="70"/>
      <c r="H76" s="66"/>
      <c r="I76" s="66"/>
      <c r="J76" s="66"/>
      <c r="K76" s="71"/>
      <c r="L76" s="71"/>
      <c r="M76" s="71"/>
      <c r="N76" s="71"/>
      <c r="O76" s="71"/>
      <c r="P76" s="162"/>
    </row>
    <row r="77" spans="1:16" s="7" customFormat="1" ht="14.25" customHeight="1">
      <c r="A77" s="117">
        <v>62</v>
      </c>
      <c r="B77" s="62" t="s">
        <v>105</v>
      </c>
      <c r="C77" s="110" t="s">
        <v>148</v>
      </c>
      <c r="D77" s="10" t="s">
        <v>9</v>
      </c>
      <c r="E77" s="111">
        <f>E76</f>
        <v>101</v>
      </c>
      <c r="F77" s="71"/>
      <c r="G77" s="82"/>
      <c r="H77" s="70"/>
      <c r="I77" s="71"/>
      <c r="J77" s="70"/>
      <c r="K77" s="70"/>
      <c r="L77" s="70"/>
      <c r="M77" s="70"/>
      <c r="N77" s="70"/>
      <c r="O77" s="70"/>
      <c r="P77" s="119"/>
    </row>
    <row r="78" spans="1:16" s="7" customFormat="1" ht="14.25" customHeight="1">
      <c r="A78" s="147">
        <v>63</v>
      </c>
      <c r="B78" s="64" t="s">
        <v>8</v>
      </c>
      <c r="C78" s="86" t="s">
        <v>81</v>
      </c>
      <c r="D78" s="87" t="s">
        <v>9</v>
      </c>
      <c r="E78" s="111">
        <f>E76</f>
        <v>101</v>
      </c>
      <c r="F78" s="88"/>
      <c r="G78" s="89"/>
      <c r="H78" s="88"/>
      <c r="I78" s="88"/>
      <c r="J78" s="66"/>
      <c r="K78" s="89"/>
      <c r="L78" s="89"/>
      <c r="M78" s="89"/>
      <c r="N78" s="89"/>
      <c r="O78" s="89"/>
      <c r="P78" s="161"/>
    </row>
    <row r="79" spans="1:16" s="7" customFormat="1" ht="14.25" customHeight="1">
      <c r="A79" s="147">
        <v>64</v>
      </c>
      <c r="B79" s="64" t="s">
        <v>6</v>
      </c>
      <c r="C79" s="112" t="s">
        <v>80</v>
      </c>
      <c r="D79" s="80" t="s">
        <v>66</v>
      </c>
      <c r="E79" s="89">
        <f>E78*0.55</f>
        <v>55.55</v>
      </c>
      <c r="F79" s="89"/>
      <c r="G79" s="89"/>
      <c r="H79" s="89"/>
      <c r="I79" s="89"/>
      <c r="J79" s="66"/>
      <c r="K79" s="89"/>
      <c r="L79" s="89"/>
      <c r="M79" s="89"/>
      <c r="N79" s="89"/>
      <c r="O79" s="89"/>
      <c r="P79" s="161"/>
    </row>
    <row r="80" spans="1:16" s="7" customFormat="1" ht="14.25" customHeight="1">
      <c r="A80" s="147">
        <v>65</v>
      </c>
      <c r="B80" s="64" t="s">
        <v>6</v>
      </c>
      <c r="C80" s="90" t="s">
        <v>74</v>
      </c>
      <c r="D80" s="80" t="s">
        <v>66</v>
      </c>
      <c r="E80" s="89">
        <f>E79</f>
        <v>55.55</v>
      </c>
      <c r="F80" s="89"/>
      <c r="G80" s="89"/>
      <c r="H80" s="89"/>
      <c r="I80" s="89"/>
      <c r="J80" s="66"/>
      <c r="K80" s="89"/>
      <c r="L80" s="89"/>
      <c r="M80" s="89"/>
      <c r="N80" s="89"/>
      <c r="O80" s="89"/>
      <c r="P80" s="161"/>
    </row>
    <row r="81" spans="1:16" s="7" customFormat="1" ht="14.25" customHeight="1">
      <c r="A81" s="147">
        <v>66</v>
      </c>
      <c r="B81" s="64" t="s">
        <v>6</v>
      </c>
      <c r="C81" s="90" t="s">
        <v>117</v>
      </c>
      <c r="D81" s="87" t="s">
        <v>9</v>
      </c>
      <c r="E81" s="111">
        <f>E78</f>
        <v>101</v>
      </c>
      <c r="F81" s="89"/>
      <c r="G81" s="89"/>
      <c r="H81" s="89"/>
      <c r="I81" s="89"/>
      <c r="J81" s="66"/>
      <c r="K81" s="89"/>
      <c r="L81" s="89"/>
      <c r="M81" s="89"/>
      <c r="N81" s="89"/>
      <c r="O81" s="89"/>
      <c r="P81" s="161"/>
    </row>
    <row r="82" spans="1:16" s="7" customFormat="1" ht="14.25" customHeight="1">
      <c r="A82" s="147">
        <v>67</v>
      </c>
      <c r="B82" s="64" t="s">
        <v>6</v>
      </c>
      <c r="C82" s="91" t="s">
        <v>118</v>
      </c>
      <c r="D82" s="80" t="s">
        <v>66</v>
      </c>
      <c r="E82" s="77">
        <f>E81*0.1</f>
        <v>10.1</v>
      </c>
      <c r="F82" s="89"/>
      <c r="G82" s="70"/>
      <c r="H82" s="89"/>
      <c r="I82" s="70"/>
      <c r="J82" s="66"/>
      <c r="K82" s="89"/>
      <c r="L82" s="89"/>
      <c r="M82" s="89"/>
      <c r="N82" s="89"/>
      <c r="O82" s="89"/>
      <c r="P82" s="161"/>
    </row>
    <row r="83" spans="1:16" s="7" customFormat="1" ht="14.25" customHeight="1">
      <c r="A83" s="147">
        <v>68</v>
      </c>
      <c r="B83" s="64" t="s">
        <v>6</v>
      </c>
      <c r="C83" s="90" t="s">
        <v>119</v>
      </c>
      <c r="D83" s="80" t="s">
        <v>66</v>
      </c>
      <c r="E83" s="89">
        <f>E79*0.05</f>
        <v>2.78</v>
      </c>
      <c r="F83" s="89"/>
      <c r="G83" s="89"/>
      <c r="H83" s="89"/>
      <c r="I83" s="89"/>
      <c r="J83" s="66"/>
      <c r="K83" s="89"/>
      <c r="L83" s="89"/>
      <c r="M83" s="89"/>
      <c r="N83" s="89"/>
      <c r="O83" s="89"/>
      <c r="P83" s="161"/>
    </row>
    <row r="84" spans="1:16" s="7" customFormat="1" ht="14.25" customHeight="1">
      <c r="A84" s="117">
        <v>69</v>
      </c>
      <c r="B84" s="64" t="s">
        <v>84</v>
      </c>
      <c r="C84" s="118" t="s">
        <v>120</v>
      </c>
      <c r="D84" s="10" t="s">
        <v>9</v>
      </c>
      <c r="E84" s="111">
        <f>E78</f>
        <v>101</v>
      </c>
      <c r="F84" s="71"/>
      <c r="G84" s="82"/>
      <c r="H84" s="71"/>
      <c r="I84" s="70"/>
      <c r="J84" s="71"/>
      <c r="K84" s="70"/>
      <c r="L84" s="70"/>
      <c r="M84" s="70"/>
      <c r="N84" s="70"/>
      <c r="O84" s="70"/>
      <c r="P84" s="119"/>
    </row>
    <row r="85" spans="1:16" s="7" customFormat="1" ht="14.25" customHeight="1">
      <c r="A85" s="147">
        <v>70</v>
      </c>
      <c r="B85" s="64" t="s">
        <v>84</v>
      </c>
      <c r="C85" s="166" t="s">
        <v>128</v>
      </c>
      <c r="D85" s="10" t="s">
        <v>9</v>
      </c>
      <c r="E85" s="111">
        <f>E78</f>
        <v>101</v>
      </c>
      <c r="F85" s="66"/>
      <c r="G85" s="82"/>
      <c r="H85" s="71"/>
      <c r="I85" s="66"/>
      <c r="J85" s="71"/>
      <c r="K85" s="70"/>
      <c r="L85" s="89"/>
      <c r="M85" s="89"/>
      <c r="N85" s="89"/>
      <c r="O85" s="89"/>
      <c r="P85" s="161"/>
    </row>
    <row r="86" spans="1:16" s="7" customFormat="1" ht="14.25" customHeight="1">
      <c r="A86" s="147">
        <v>71</v>
      </c>
      <c r="B86" s="64" t="s">
        <v>84</v>
      </c>
      <c r="C86" s="92" t="s">
        <v>129</v>
      </c>
      <c r="D86" s="87" t="s">
        <v>9</v>
      </c>
      <c r="E86" s="77">
        <f>E78</f>
        <v>101</v>
      </c>
      <c r="F86" s="71"/>
      <c r="G86" s="70"/>
      <c r="H86" s="89"/>
      <c r="I86" s="70"/>
      <c r="J86" s="66"/>
      <c r="K86" s="89"/>
      <c r="L86" s="89"/>
      <c r="M86" s="89"/>
      <c r="N86" s="89"/>
      <c r="O86" s="89"/>
      <c r="P86" s="161"/>
    </row>
    <row r="87" spans="1:16" s="7" customFormat="1" ht="14.25" customHeight="1">
      <c r="A87" s="147">
        <v>72</v>
      </c>
      <c r="B87" s="64" t="s">
        <v>84</v>
      </c>
      <c r="C87" s="75" t="s">
        <v>131</v>
      </c>
      <c r="D87" s="80" t="s">
        <v>66</v>
      </c>
      <c r="E87" s="77">
        <f>E76*0.2</f>
        <v>20.2</v>
      </c>
      <c r="F87" s="71"/>
      <c r="G87" s="70"/>
      <c r="H87" s="89"/>
      <c r="I87" s="66"/>
      <c r="J87" s="66"/>
      <c r="K87" s="89"/>
      <c r="L87" s="89"/>
      <c r="M87" s="89"/>
      <c r="N87" s="89"/>
      <c r="O87" s="89"/>
      <c r="P87" s="161"/>
    </row>
    <row r="88" spans="1:16" customFormat="1" ht="15" customHeight="1">
      <c r="A88" s="117">
        <v>73</v>
      </c>
      <c r="B88" s="62" t="s">
        <v>105</v>
      </c>
      <c r="C88" s="166" t="s">
        <v>130</v>
      </c>
      <c r="D88" s="87" t="s">
        <v>9</v>
      </c>
      <c r="E88" s="77">
        <f>E78</f>
        <v>101</v>
      </c>
      <c r="F88" s="66"/>
      <c r="G88" s="70"/>
      <c r="H88" s="89"/>
      <c r="I88" s="66"/>
      <c r="J88" s="66"/>
      <c r="K88" s="70"/>
      <c r="L88" s="70"/>
      <c r="M88" s="70"/>
      <c r="N88" s="70"/>
      <c r="O88" s="70"/>
      <c r="P88" s="119"/>
    </row>
    <row r="89" spans="1:16">
      <c r="A89" s="117">
        <v>74</v>
      </c>
      <c r="B89" s="62" t="s">
        <v>105</v>
      </c>
      <c r="C89" s="110" t="s">
        <v>153</v>
      </c>
      <c r="D89" s="10" t="s">
        <v>9</v>
      </c>
      <c r="E89" s="111">
        <f>(9.15+11)*2*3.9-18-4</f>
        <v>135.16999999999999</v>
      </c>
      <c r="F89" s="71"/>
      <c r="G89" s="82"/>
      <c r="H89" s="70"/>
      <c r="I89" s="70"/>
      <c r="J89" s="70"/>
      <c r="K89" s="70"/>
      <c r="L89" s="70"/>
      <c r="M89" s="70"/>
      <c r="N89" s="70"/>
      <c r="O89" s="70"/>
      <c r="P89" s="119"/>
    </row>
    <row r="90" spans="1:16">
      <c r="A90" s="117">
        <v>75</v>
      </c>
      <c r="B90" s="62" t="s">
        <v>105</v>
      </c>
      <c r="C90" s="118" t="s">
        <v>110</v>
      </c>
      <c r="D90" s="10" t="s">
        <v>9</v>
      </c>
      <c r="E90" s="111">
        <f>E89</f>
        <v>135.16999999999999</v>
      </c>
      <c r="F90" s="71"/>
      <c r="G90" s="82"/>
      <c r="H90" s="71"/>
      <c r="I90" s="70"/>
      <c r="J90" s="71"/>
      <c r="K90" s="70"/>
      <c r="L90" s="70"/>
      <c r="M90" s="70"/>
      <c r="N90" s="70"/>
      <c r="O90" s="70"/>
      <c r="P90" s="119"/>
    </row>
    <row r="91" spans="1:16">
      <c r="A91" s="117">
        <v>76</v>
      </c>
      <c r="B91" s="62" t="s">
        <v>105</v>
      </c>
      <c r="C91" s="118" t="s">
        <v>111</v>
      </c>
      <c r="D91" s="10" t="s">
        <v>9</v>
      </c>
      <c r="E91" s="111">
        <f>E89</f>
        <v>135.16999999999999</v>
      </c>
      <c r="F91" s="71"/>
      <c r="G91" s="82"/>
      <c r="H91" s="71"/>
      <c r="I91" s="70"/>
      <c r="J91" s="71"/>
      <c r="K91" s="70"/>
      <c r="L91" s="70"/>
      <c r="M91" s="70"/>
      <c r="N91" s="70"/>
      <c r="O91" s="70"/>
      <c r="P91" s="119"/>
    </row>
    <row r="92" spans="1:16">
      <c r="A92" s="117">
        <v>77</v>
      </c>
      <c r="B92" s="62" t="s">
        <v>105</v>
      </c>
      <c r="C92" s="118" t="s">
        <v>136</v>
      </c>
      <c r="D92" s="10" t="s">
        <v>9</v>
      </c>
      <c r="E92" s="111">
        <f>E89</f>
        <v>135.16999999999999</v>
      </c>
      <c r="F92" s="71"/>
      <c r="G92" s="82"/>
      <c r="H92" s="71"/>
      <c r="I92" s="70"/>
      <c r="J92" s="71"/>
      <c r="K92" s="70"/>
      <c r="L92" s="70"/>
      <c r="M92" s="70"/>
      <c r="N92" s="70"/>
      <c r="O92" s="70"/>
      <c r="P92" s="119"/>
    </row>
    <row r="93" spans="1:16" ht="25.5">
      <c r="A93" s="147">
        <v>78</v>
      </c>
      <c r="B93" s="64" t="s">
        <v>71</v>
      </c>
      <c r="C93" s="51" t="s">
        <v>143</v>
      </c>
      <c r="D93" s="10" t="s">
        <v>9</v>
      </c>
      <c r="E93" s="120">
        <f>15.1*3.8</f>
        <v>57.38</v>
      </c>
      <c r="F93" s="71"/>
      <c r="G93" s="70"/>
      <c r="H93" s="81"/>
      <c r="I93" s="71"/>
      <c r="J93" s="66"/>
      <c r="K93" s="82"/>
      <c r="L93" s="82"/>
      <c r="M93" s="82"/>
      <c r="N93" s="82"/>
      <c r="O93" s="82"/>
      <c r="P93" s="119"/>
    </row>
    <row r="94" spans="1:16">
      <c r="A94" s="117">
        <v>79</v>
      </c>
      <c r="B94" s="62" t="s">
        <v>105</v>
      </c>
      <c r="C94" s="118" t="s">
        <v>110</v>
      </c>
      <c r="D94" s="10" t="s">
        <v>9</v>
      </c>
      <c r="E94" s="111">
        <f>E93*2</f>
        <v>114.76</v>
      </c>
      <c r="F94" s="71"/>
      <c r="G94" s="82"/>
      <c r="H94" s="71"/>
      <c r="I94" s="70"/>
      <c r="J94" s="71"/>
      <c r="K94" s="70"/>
      <c r="L94" s="70"/>
      <c r="M94" s="70"/>
      <c r="N94" s="70"/>
      <c r="O94" s="70"/>
      <c r="P94" s="119"/>
    </row>
    <row r="95" spans="1:16">
      <c r="A95" s="117">
        <v>80</v>
      </c>
      <c r="B95" s="62" t="s">
        <v>105</v>
      </c>
      <c r="C95" s="118" t="s">
        <v>111</v>
      </c>
      <c r="D95" s="10" t="s">
        <v>9</v>
      </c>
      <c r="E95" s="111">
        <f>E94</f>
        <v>114.76</v>
      </c>
      <c r="F95" s="71"/>
      <c r="G95" s="82"/>
      <c r="H95" s="71"/>
      <c r="I95" s="70"/>
      <c r="J95" s="71"/>
      <c r="K95" s="70"/>
      <c r="L95" s="70"/>
      <c r="M95" s="70"/>
      <c r="N95" s="70"/>
      <c r="O95" s="70"/>
      <c r="P95" s="119"/>
    </row>
    <row r="96" spans="1:16">
      <c r="A96" s="117">
        <v>81</v>
      </c>
      <c r="B96" s="62" t="s">
        <v>105</v>
      </c>
      <c r="C96" s="118" t="s">
        <v>136</v>
      </c>
      <c r="D96" s="10" t="s">
        <v>9</v>
      </c>
      <c r="E96" s="111">
        <f>E94</f>
        <v>114.76</v>
      </c>
      <c r="F96" s="71"/>
      <c r="G96" s="82"/>
      <c r="H96" s="71"/>
      <c r="I96" s="70"/>
      <c r="J96" s="71"/>
      <c r="K96" s="70"/>
      <c r="L96" s="70"/>
      <c r="M96" s="70"/>
      <c r="N96" s="70"/>
      <c r="O96" s="70"/>
      <c r="P96" s="119"/>
    </row>
    <row r="97" spans="1:256" ht="25.5">
      <c r="A97" s="165">
        <v>82</v>
      </c>
      <c r="B97" s="64" t="s">
        <v>138</v>
      </c>
      <c r="C97" s="51" t="s">
        <v>155</v>
      </c>
      <c r="D97" s="80" t="s">
        <v>154</v>
      </c>
      <c r="E97" s="66">
        <f>2.3*40.3*0.4</f>
        <v>37.08</v>
      </c>
      <c r="F97" s="66"/>
      <c r="G97" s="81"/>
      <c r="H97" s="66"/>
      <c r="I97" s="66"/>
      <c r="J97" s="71"/>
      <c r="K97" s="70"/>
      <c r="L97" s="70"/>
      <c r="M97" s="70"/>
      <c r="N97" s="70"/>
      <c r="O97" s="70"/>
      <c r="P97" s="119"/>
    </row>
    <row r="98" spans="1:256" ht="27" customHeight="1">
      <c r="A98" s="117">
        <f>A97+1</f>
        <v>83</v>
      </c>
      <c r="B98" s="64" t="s">
        <v>84</v>
      </c>
      <c r="C98" s="92" t="s">
        <v>169</v>
      </c>
      <c r="D98" s="76" t="s">
        <v>154</v>
      </c>
      <c r="E98" s="78">
        <f>(0.5*11*0.2*2)+(0.4*11*0.2*2)</f>
        <v>3.96</v>
      </c>
      <c r="F98" s="66"/>
      <c r="G98" s="70"/>
      <c r="H98" s="70"/>
      <c r="I98" s="70"/>
      <c r="J98" s="71"/>
      <c r="K98" s="70"/>
      <c r="L98" s="70"/>
      <c r="M98" s="70"/>
      <c r="N98" s="70"/>
      <c r="O98" s="70"/>
      <c r="P98" s="119"/>
      <c r="Q98" s="302"/>
      <c r="R98" s="300"/>
      <c r="S98" s="301"/>
      <c r="T98" s="302"/>
      <c r="U98" s="30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302"/>
      <c r="AH98" s="300"/>
      <c r="AI98" s="301"/>
      <c r="AJ98" s="302"/>
      <c r="AK98" s="30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302"/>
      <c r="AX98" s="300"/>
      <c r="AY98" s="301"/>
      <c r="AZ98" s="302"/>
      <c r="BA98" s="30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302"/>
      <c r="BN98" s="300"/>
      <c r="BO98" s="301"/>
      <c r="BP98" s="302"/>
      <c r="BQ98" s="30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302"/>
      <c r="CD98" s="300"/>
      <c r="CE98" s="301"/>
      <c r="CF98" s="302"/>
      <c r="CG98" s="303"/>
      <c r="CH98" s="133"/>
      <c r="CI98" s="133"/>
      <c r="CJ98" s="133"/>
      <c r="CK98" s="133"/>
      <c r="CL98" s="133"/>
      <c r="CM98" s="133"/>
      <c r="CN98" s="133"/>
      <c r="CO98" s="133"/>
      <c r="CP98" s="133"/>
      <c r="CQ98" s="133"/>
      <c r="CR98" s="133"/>
      <c r="CS98" s="302"/>
      <c r="CT98" s="300"/>
      <c r="CU98" s="301"/>
      <c r="CV98" s="302"/>
      <c r="CW98" s="303"/>
      <c r="CX98" s="133"/>
      <c r="CY98" s="133"/>
      <c r="CZ98" s="133"/>
      <c r="DA98" s="133"/>
      <c r="DB98" s="133"/>
      <c r="DC98" s="133"/>
      <c r="DD98" s="133"/>
      <c r="DE98" s="133"/>
      <c r="DF98" s="133"/>
      <c r="DG98" s="133"/>
      <c r="DH98" s="133"/>
      <c r="DI98" s="302"/>
      <c r="DJ98" s="300"/>
      <c r="DK98" s="301"/>
      <c r="DL98" s="302"/>
      <c r="DM98" s="303"/>
      <c r="DN98" s="133"/>
      <c r="DO98" s="133"/>
      <c r="DP98" s="133"/>
      <c r="DQ98" s="133"/>
      <c r="DR98" s="133"/>
      <c r="DS98" s="133"/>
      <c r="DT98" s="133"/>
      <c r="DU98" s="133"/>
      <c r="DV98" s="133"/>
      <c r="DW98" s="133"/>
      <c r="DX98" s="133"/>
      <c r="DY98" s="302"/>
      <c r="DZ98" s="300"/>
      <c r="EA98" s="301"/>
      <c r="EB98" s="302"/>
      <c r="EC98" s="303"/>
      <c r="ED98" s="133"/>
      <c r="EE98" s="133"/>
      <c r="EF98" s="133"/>
      <c r="EG98" s="133"/>
      <c r="EH98" s="133"/>
      <c r="EI98" s="133"/>
      <c r="EJ98" s="133"/>
      <c r="EK98" s="133"/>
      <c r="EL98" s="133"/>
      <c r="EM98" s="133"/>
      <c r="EN98" s="133"/>
      <c r="EO98" s="302"/>
      <c r="EP98" s="300"/>
      <c r="EQ98" s="301"/>
      <c r="ER98" s="302"/>
      <c r="ES98" s="303"/>
      <c r="ET98" s="133"/>
      <c r="EU98" s="133"/>
      <c r="EV98" s="133"/>
      <c r="EW98" s="133"/>
      <c r="EX98" s="133"/>
      <c r="EY98" s="133"/>
      <c r="EZ98" s="133"/>
      <c r="FA98" s="133"/>
      <c r="FB98" s="133"/>
      <c r="FC98" s="133"/>
      <c r="FD98" s="133"/>
      <c r="FE98" s="302"/>
      <c r="FF98" s="300"/>
      <c r="FG98" s="301"/>
      <c r="FH98" s="302"/>
      <c r="FI98" s="303"/>
      <c r="FJ98" s="133"/>
      <c r="FK98" s="133"/>
      <c r="FL98" s="133"/>
      <c r="FM98" s="133"/>
      <c r="FN98" s="133"/>
      <c r="FO98" s="133"/>
      <c r="FP98" s="133"/>
      <c r="FQ98" s="133"/>
      <c r="FR98" s="133"/>
      <c r="FS98" s="133"/>
      <c r="FT98" s="133"/>
      <c r="FU98" s="302"/>
      <c r="FV98" s="300"/>
      <c r="FW98" s="301"/>
      <c r="FX98" s="302"/>
      <c r="FY98" s="303"/>
      <c r="FZ98" s="133"/>
      <c r="GA98" s="133"/>
      <c r="GB98" s="133"/>
      <c r="GC98" s="133"/>
      <c r="GD98" s="133"/>
      <c r="GE98" s="133"/>
      <c r="GF98" s="133"/>
      <c r="GG98" s="133"/>
      <c r="GH98" s="133"/>
      <c r="GI98" s="133"/>
      <c r="GJ98" s="133"/>
      <c r="GK98" s="302"/>
      <c r="GL98" s="300"/>
      <c r="GM98" s="301"/>
      <c r="GN98" s="302"/>
      <c r="GO98" s="303"/>
      <c r="GP98" s="133"/>
      <c r="GQ98" s="133"/>
      <c r="GR98" s="133"/>
      <c r="GS98" s="133"/>
      <c r="GT98" s="133"/>
      <c r="GU98" s="133"/>
      <c r="GV98" s="133"/>
      <c r="GW98" s="133"/>
      <c r="GX98" s="133"/>
      <c r="GY98" s="133"/>
      <c r="GZ98" s="133"/>
      <c r="HA98" s="302"/>
      <c r="HB98" s="300"/>
      <c r="HC98" s="301"/>
      <c r="HD98" s="302"/>
      <c r="HE98" s="303"/>
      <c r="HF98" s="133"/>
      <c r="HG98" s="133"/>
      <c r="HH98" s="133"/>
      <c r="HI98" s="133"/>
      <c r="HJ98" s="133"/>
      <c r="HK98" s="133"/>
      <c r="HL98" s="133"/>
      <c r="HM98" s="133"/>
      <c r="HN98" s="133"/>
      <c r="HO98" s="133"/>
      <c r="HP98" s="133"/>
      <c r="HQ98" s="302"/>
      <c r="HR98" s="300"/>
      <c r="HS98" s="301"/>
      <c r="HT98" s="302"/>
      <c r="HU98" s="303"/>
      <c r="HV98" s="133"/>
      <c r="HW98" s="133"/>
      <c r="HX98" s="133"/>
      <c r="HY98" s="133"/>
      <c r="HZ98" s="133"/>
      <c r="IA98" s="133"/>
      <c r="IB98" s="133"/>
      <c r="IC98" s="133"/>
      <c r="ID98" s="133"/>
      <c r="IE98" s="133"/>
      <c r="IF98" s="133"/>
      <c r="IG98" s="302"/>
      <c r="IH98" s="300"/>
      <c r="II98" s="301"/>
      <c r="IJ98" s="302"/>
      <c r="IK98" s="303"/>
      <c r="IL98" s="133"/>
      <c r="IM98" s="133"/>
      <c r="IN98" s="133"/>
      <c r="IO98" s="133"/>
      <c r="IP98" s="133"/>
      <c r="IQ98" s="133"/>
      <c r="IR98" s="133"/>
      <c r="IS98" s="133"/>
      <c r="IT98" s="133"/>
      <c r="IU98" s="133"/>
      <c r="IV98" s="133"/>
    </row>
    <row r="99" spans="1:256" s="7" customFormat="1" ht="12.75">
      <c r="A99" s="117">
        <v>83</v>
      </c>
      <c r="B99" s="62" t="s">
        <v>105</v>
      </c>
      <c r="C99" s="110" t="s">
        <v>115</v>
      </c>
      <c r="D99" s="10" t="s">
        <v>9</v>
      </c>
      <c r="E99" s="111">
        <f>2.3*40.3</f>
        <v>92.69</v>
      </c>
      <c r="F99" s="71"/>
      <c r="G99" s="82"/>
      <c r="H99" s="70"/>
      <c r="I99" s="71"/>
      <c r="J99" s="70"/>
      <c r="K99" s="70"/>
      <c r="L99" s="70"/>
      <c r="M99" s="70"/>
      <c r="N99" s="70"/>
      <c r="O99" s="70"/>
      <c r="P99" s="119"/>
    </row>
    <row r="100" spans="1:256">
      <c r="A100" s="147">
        <v>84</v>
      </c>
      <c r="B100" s="64" t="s">
        <v>71</v>
      </c>
      <c r="C100" s="51" t="s">
        <v>140</v>
      </c>
      <c r="D100" s="99" t="s">
        <v>73</v>
      </c>
      <c r="E100" s="113">
        <v>1</v>
      </c>
      <c r="F100" s="122"/>
      <c r="G100" s="81"/>
      <c r="H100" s="11"/>
      <c r="I100" s="122"/>
      <c r="J100" s="66"/>
      <c r="K100" s="82"/>
      <c r="L100" s="82"/>
      <c r="M100" s="82"/>
      <c r="N100" s="82"/>
      <c r="O100" s="82"/>
      <c r="P100" s="148"/>
    </row>
    <row r="101" spans="1:256" s="7" customFormat="1" ht="14.25" customHeight="1">
      <c r="A101" s="147"/>
      <c r="B101" s="10"/>
      <c r="C101" s="68" t="s">
        <v>149</v>
      </c>
      <c r="D101" s="10"/>
      <c r="E101" s="74"/>
      <c r="F101" s="69"/>
      <c r="G101" s="82"/>
      <c r="H101" s="69"/>
      <c r="I101" s="69"/>
      <c r="J101" s="69"/>
      <c r="K101" s="69"/>
      <c r="L101" s="69"/>
      <c r="M101" s="69"/>
      <c r="N101" s="69"/>
      <c r="O101" s="69"/>
      <c r="P101" s="163"/>
    </row>
    <row r="102" spans="1:256" s="7" customFormat="1" ht="14.25" customHeight="1">
      <c r="A102" s="117">
        <v>85</v>
      </c>
      <c r="B102" s="64" t="s">
        <v>8</v>
      </c>
      <c r="C102" s="110" t="s">
        <v>100</v>
      </c>
      <c r="D102" s="10" t="s">
        <v>9</v>
      </c>
      <c r="E102" s="111">
        <f>E103</f>
        <v>26.1</v>
      </c>
      <c r="F102" s="71"/>
      <c r="G102" s="71"/>
      <c r="H102" s="71"/>
      <c r="I102" s="71"/>
      <c r="J102" s="70"/>
      <c r="K102" s="71"/>
      <c r="L102" s="71"/>
      <c r="M102" s="71"/>
      <c r="N102" s="71"/>
      <c r="O102" s="71"/>
      <c r="P102" s="162"/>
      <c r="Q102" s="114"/>
      <c r="R102" s="304"/>
      <c r="S102" s="305"/>
      <c r="T102" s="114"/>
      <c r="U102" s="133"/>
      <c r="V102" s="133"/>
      <c r="W102" s="133"/>
      <c r="X102" s="298"/>
      <c r="Y102" s="298"/>
      <c r="Z102" s="298"/>
      <c r="AA102" s="133"/>
      <c r="AB102" s="133"/>
      <c r="AC102" s="133"/>
      <c r="AD102" s="133"/>
      <c r="AE102" s="133"/>
      <c r="AF102" s="133"/>
      <c r="AG102" s="114"/>
      <c r="AH102" s="304"/>
      <c r="AI102" s="305"/>
      <c r="AJ102" s="114"/>
      <c r="AK102" s="133"/>
      <c r="AL102" s="133"/>
      <c r="AM102" s="133"/>
      <c r="AN102" s="298"/>
      <c r="AO102" s="298"/>
      <c r="AP102" s="298"/>
      <c r="AQ102" s="133"/>
      <c r="AR102" s="133"/>
      <c r="AS102" s="133"/>
      <c r="AT102" s="133"/>
      <c r="AU102" s="133"/>
      <c r="AV102" s="133"/>
      <c r="AW102" s="114"/>
      <c r="AX102" s="304"/>
      <c r="AY102" s="305"/>
      <c r="AZ102" s="114"/>
      <c r="BA102" s="133"/>
      <c r="BB102" s="133"/>
      <c r="BC102" s="133"/>
      <c r="BD102" s="298"/>
      <c r="BE102" s="298"/>
      <c r="BF102" s="298"/>
      <c r="BG102" s="133"/>
      <c r="BH102" s="133"/>
      <c r="BI102" s="133"/>
      <c r="BJ102" s="133"/>
      <c r="BK102" s="133"/>
      <c r="BL102" s="133"/>
      <c r="BM102" s="114"/>
      <c r="BN102" s="304"/>
      <c r="BO102" s="305"/>
      <c r="BP102" s="114"/>
      <c r="BQ102" s="133"/>
      <c r="BR102" s="133"/>
      <c r="BS102" s="133"/>
      <c r="BT102" s="298"/>
      <c r="BU102" s="298"/>
      <c r="BV102" s="298"/>
      <c r="BW102" s="133"/>
      <c r="BX102" s="133"/>
      <c r="BY102" s="133"/>
      <c r="BZ102" s="133"/>
      <c r="CA102" s="133"/>
      <c r="CB102" s="133"/>
      <c r="CC102" s="114"/>
      <c r="CD102" s="304"/>
      <c r="CE102" s="305"/>
      <c r="CF102" s="114"/>
      <c r="CG102" s="133"/>
      <c r="CH102" s="133"/>
      <c r="CI102" s="133"/>
      <c r="CJ102" s="298"/>
      <c r="CK102" s="298"/>
      <c r="CL102" s="298"/>
      <c r="CM102" s="133"/>
      <c r="CN102" s="133"/>
      <c r="CO102" s="133"/>
      <c r="CP102" s="133"/>
      <c r="CQ102" s="133"/>
      <c r="CR102" s="133"/>
      <c r="CS102" s="114"/>
      <c r="CT102" s="304"/>
      <c r="CU102" s="305"/>
      <c r="CV102" s="114"/>
      <c r="CW102" s="133"/>
      <c r="CX102" s="133"/>
      <c r="CY102" s="133"/>
      <c r="CZ102" s="298"/>
      <c r="DA102" s="298"/>
      <c r="DB102" s="298"/>
      <c r="DC102" s="133"/>
      <c r="DD102" s="133"/>
      <c r="DE102" s="133"/>
      <c r="DF102" s="133"/>
      <c r="DG102" s="133"/>
      <c r="DH102" s="133"/>
      <c r="DI102" s="114"/>
      <c r="DJ102" s="304"/>
      <c r="DK102" s="305"/>
      <c r="DL102" s="114"/>
      <c r="DM102" s="133"/>
      <c r="DN102" s="133"/>
      <c r="DO102" s="133"/>
      <c r="DP102" s="298"/>
      <c r="DQ102" s="298"/>
      <c r="DR102" s="298"/>
      <c r="DS102" s="133"/>
      <c r="DT102" s="133"/>
      <c r="DU102" s="133"/>
      <c r="DV102" s="133"/>
      <c r="DW102" s="133"/>
      <c r="DX102" s="133"/>
      <c r="DY102" s="114"/>
      <c r="DZ102" s="304"/>
      <c r="EA102" s="305"/>
      <c r="EB102" s="114"/>
      <c r="EC102" s="133"/>
      <c r="ED102" s="133"/>
      <c r="EE102" s="133"/>
      <c r="EF102" s="298"/>
      <c r="EG102" s="298"/>
      <c r="EH102" s="298"/>
      <c r="EI102" s="133"/>
      <c r="EJ102" s="133"/>
      <c r="EK102" s="133"/>
      <c r="EL102" s="133"/>
      <c r="EM102" s="133"/>
      <c r="EN102" s="133"/>
      <c r="EO102" s="114"/>
      <c r="EP102" s="304"/>
      <c r="EQ102" s="305"/>
      <c r="ER102" s="114"/>
      <c r="ES102" s="133"/>
      <c r="ET102" s="133"/>
      <c r="EU102" s="133"/>
      <c r="EV102" s="298"/>
      <c r="EW102" s="298"/>
      <c r="EX102" s="298"/>
      <c r="EY102" s="133"/>
      <c r="EZ102" s="133"/>
      <c r="FA102" s="133"/>
      <c r="FB102" s="133"/>
      <c r="FC102" s="133"/>
      <c r="FD102" s="133"/>
      <c r="FE102" s="114"/>
      <c r="FF102" s="304"/>
      <c r="FG102" s="305"/>
      <c r="FH102" s="114"/>
      <c r="FI102" s="133"/>
      <c r="FJ102" s="133"/>
      <c r="FK102" s="133"/>
      <c r="FL102" s="298"/>
      <c r="FM102" s="298"/>
      <c r="FN102" s="298"/>
      <c r="FO102" s="133"/>
      <c r="FP102" s="133"/>
      <c r="FQ102" s="133"/>
      <c r="FR102" s="133"/>
      <c r="FS102" s="133"/>
      <c r="FT102" s="133"/>
      <c r="FU102" s="114"/>
      <c r="FV102" s="304"/>
      <c r="FW102" s="305"/>
      <c r="FX102" s="114"/>
      <c r="FY102" s="133"/>
      <c r="FZ102" s="133"/>
      <c r="GA102" s="133"/>
      <c r="GB102" s="298"/>
      <c r="GC102" s="298"/>
      <c r="GD102" s="298"/>
      <c r="GE102" s="133"/>
      <c r="GF102" s="133"/>
      <c r="GG102" s="133"/>
      <c r="GH102" s="133"/>
      <c r="GI102" s="133"/>
      <c r="GJ102" s="133"/>
      <c r="GK102" s="114"/>
      <c r="GL102" s="304"/>
      <c r="GM102" s="305"/>
      <c r="GN102" s="114"/>
      <c r="GO102" s="133"/>
      <c r="GP102" s="133"/>
      <c r="GQ102" s="133"/>
      <c r="GR102" s="298"/>
      <c r="GS102" s="298"/>
      <c r="GT102" s="298"/>
      <c r="GU102" s="133"/>
      <c r="GV102" s="133"/>
      <c r="GW102" s="133"/>
      <c r="GX102" s="133"/>
      <c r="GY102" s="133"/>
      <c r="GZ102" s="133"/>
      <c r="HA102" s="114"/>
      <c r="HB102" s="304"/>
      <c r="HC102" s="305"/>
      <c r="HD102" s="114"/>
      <c r="HE102" s="133"/>
      <c r="HF102" s="133"/>
      <c r="HG102" s="133"/>
      <c r="HH102" s="298"/>
      <c r="HI102" s="298"/>
      <c r="HJ102" s="298"/>
      <c r="HK102" s="133"/>
      <c r="HL102" s="133"/>
      <c r="HM102" s="133"/>
      <c r="HN102" s="133"/>
      <c r="HO102" s="133"/>
      <c r="HP102" s="133"/>
      <c r="HQ102" s="114"/>
      <c r="HR102" s="304"/>
      <c r="HS102" s="305"/>
      <c r="HT102" s="114"/>
      <c r="HU102" s="133"/>
      <c r="HV102" s="133"/>
      <c r="HW102" s="133"/>
      <c r="HX102" s="298"/>
      <c r="HY102" s="298"/>
      <c r="HZ102" s="298"/>
      <c r="IA102" s="133"/>
      <c r="IB102" s="133"/>
      <c r="IC102" s="133"/>
      <c r="ID102" s="133"/>
      <c r="IE102" s="133"/>
      <c r="IF102" s="133"/>
      <c r="IG102" s="114"/>
      <c r="IH102" s="304"/>
      <c r="II102" s="305"/>
      <c r="IJ102" s="114"/>
      <c r="IK102" s="133"/>
      <c r="IL102" s="133"/>
      <c r="IM102" s="133"/>
      <c r="IN102" s="298"/>
      <c r="IO102" s="298"/>
      <c r="IP102" s="298"/>
      <c r="IQ102" s="133"/>
      <c r="IR102" s="133"/>
      <c r="IS102" s="133"/>
      <c r="IT102" s="133"/>
      <c r="IU102" s="133"/>
      <c r="IV102" s="133"/>
    </row>
    <row r="103" spans="1:256" s="7" customFormat="1" ht="14.25" customHeight="1">
      <c r="A103" s="147">
        <v>86</v>
      </c>
      <c r="B103" s="64" t="s">
        <v>8</v>
      </c>
      <c r="C103" s="86" t="s">
        <v>145</v>
      </c>
      <c r="D103" s="87" t="s">
        <v>9</v>
      </c>
      <c r="E103" s="111">
        <v>26.1</v>
      </c>
      <c r="F103" s="88"/>
      <c r="G103" s="89"/>
      <c r="H103" s="71"/>
      <c r="I103" s="88"/>
      <c r="J103" s="66"/>
      <c r="K103" s="89"/>
      <c r="L103" s="89"/>
      <c r="M103" s="89"/>
      <c r="N103" s="89"/>
      <c r="O103" s="89"/>
      <c r="P103" s="161"/>
    </row>
    <row r="104" spans="1:256" s="7" customFormat="1" ht="14.25" customHeight="1">
      <c r="A104" s="147">
        <v>87</v>
      </c>
      <c r="B104" s="64" t="s">
        <v>71</v>
      </c>
      <c r="C104" s="112" t="s">
        <v>125</v>
      </c>
      <c r="D104" s="87" t="s">
        <v>9</v>
      </c>
      <c r="E104" s="89">
        <f>E103</f>
        <v>26.1</v>
      </c>
      <c r="F104" s="89"/>
      <c r="G104" s="89"/>
      <c r="H104" s="89"/>
      <c r="I104" s="89"/>
      <c r="J104" s="66"/>
      <c r="K104" s="89"/>
      <c r="L104" s="89"/>
      <c r="M104" s="89"/>
      <c r="N104" s="89"/>
      <c r="O104" s="89"/>
      <c r="P104" s="161"/>
    </row>
    <row r="105" spans="1:256" s="7" customFormat="1" ht="14.25" customHeight="1">
      <c r="A105" s="147">
        <v>88</v>
      </c>
      <c r="B105" s="64" t="s">
        <v>71</v>
      </c>
      <c r="C105" s="112" t="s">
        <v>126</v>
      </c>
      <c r="D105" s="87" t="s">
        <v>9</v>
      </c>
      <c r="E105" s="89">
        <f>E103</f>
        <v>26.1</v>
      </c>
      <c r="F105" s="79"/>
      <c r="G105" s="89"/>
      <c r="H105" s="89"/>
      <c r="I105" s="89"/>
      <c r="J105" s="66"/>
      <c r="K105" s="89"/>
      <c r="L105" s="89"/>
      <c r="M105" s="89"/>
      <c r="N105" s="89"/>
      <c r="O105" s="89"/>
      <c r="P105" s="161"/>
    </row>
    <row r="106" spans="1:256" s="7" customFormat="1" ht="14.25" customHeight="1">
      <c r="A106" s="147">
        <v>89</v>
      </c>
      <c r="B106" s="64" t="s">
        <v>71</v>
      </c>
      <c r="C106" s="51" t="s">
        <v>141</v>
      </c>
      <c r="D106" s="10" t="s">
        <v>9</v>
      </c>
      <c r="E106" s="120">
        <f>E105</f>
        <v>26.1</v>
      </c>
      <c r="F106" s="65"/>
      <c r="G106" s="65"/>
      <c r="H106" s="89"/>
      <c r="I106" s="66"/>
      <c r="J106" s="66"/>
      <c r="K106" s="71"/>
      <c r="L106" s="89"/>
      <c r="M106" s="89"/>
      <c r="N106" s="89"/>
      <c r="O106" s="89"/>
      <c r="P106" s="161"/>
    </row>
    <row r="107" spans="1:256" s="7" customFormat="1" ht="14.25" customHeight="1">
      <c r="A107" s="147">
        <v>90</v>
      </c>
      <c r="B107" s="62" t="s">
        <v>105</v>
      </c>
      <c r="C107" s="112" t="s">
        <v>142</v>
      </c>
      <c r="D107" s="87" t="s">
        <v>9</v>
      </c>
      <c r="E107" s="89">
        <f>E103</f>
        <v>26.1</v>
      </c>
      <c r="F107" s="89"/>
      <c r="G107" s="89"/>
      <c r="H107" s="89"/>
      <c r="I107" s="89"/>
      <c r="J107" s="66"/>
      <c r="K107" s="89"/>
      <c r="L107" s="89"/>
      <c r="M107" s="89"/>
      <c r="N107" s="89"/>
      <c r="O107" s="89"/>
      <c r="P107" s="161"/>
    </row>
    <row r="108" spans="1:256" s="7" customFormat="1" ht="14.25" customHeight="1">
      <c r="A108" s="147">
        <v>91</v>
      </c>
      <c r="B108" s="64" t="s">
        <v>8</v>
      </c>
      <c r="C108" s="86" t="s">
        <v>81</v>
      </c>
      <c r="D108" s="87" t="s">
        <v>9</v>
      </c>
      <c r="E108" s="111">
        <f>E103</f>
        <v>26.1</v>
      </c>
      <c r="F108" s="88"/>
      <c r="G108" s="89"/>
      <c r="H108" s="89"/>
      <c r="I108" s="88"/>
      <c r="J108" s="66"/>
      <c r="K108" s="89"/>
      <c r="L108" s="89"/>
      <c r="M108" s="89"/>
      <c r="N108" s="89"/>
      <c r="O108" s="89"/>
      <c r="P108" s="161"/>
    </row>
    <row r="109" spans="1:256" s="7" customFormat="1" ht="14.25" customHeight="1">
      <c r="A109" s="147">
        <v>92</v>
      </c>
      <c r="B109" s="64" t="s">
        <v>6</v>
      </c>
      <c r="C109" s="112" t="s">
        <v>80</v>
      </c>
      <c r="D109" s="80" t="s">
        <v>66</v>
      </c>
      <c r="E109" s="89">
        <f>E108*0.55</f>
        <v>14.36</v>
      </c>
      <c r="F109" s="89"/>
      <c r="G109" s="89"/>
      <c r="H109" s="89"/>
      <c r="I109" s="89"/>
      <c r="J109" s="66"/>
      <c r="K109" s="89"/>
      <c r="L109" s="89"/>
      <c r="M109" s="89"/>
      <c r="N109" s="89"/>
      <c r="O109" s="89"/>
      <c r="P109" s="161"/>
    </row>
    <row r="110" spans="1:256" s="7" customFormat="1" ht="14.25" customHeight="1">
      <c r="A110" s="147">
        <v>93</v>
      </c>
      <c r="B110" s="64" t="s">
        <v>6</v>
      </c>
      <c r="C110" s="90" t="s">
        <v>74</v>
      </c>
      <c r="D110" s="80" t="s">
        <v>66</v>
      </c>
      <c r="E110" s="89">
        <f>E109</f>
        <v>14.36</v>
      </c>
      <c r="F110" s="89"/>
      <c r="G110" s="89"/>
      <c r="H110" s="89"/>
      <c r="I110" s="89"/>
      <c r="J110" s="66"/>
      <c r="K110" s="89"/>
      <c r="L110" s="89"/>
      <c r="M110" s="89"/>
      <c r="N110" s="89"/>
      <c r="O110" s="89"/>
      <c r="P110" s="161"/>
    </row>
    <row r="111" spans="1:256" customFormat="1" ht="15" customHeight="1">
      <c r="A111" s="147">
        <v>94</v>
      </c>
      <c r="B111" s="64" t="s">
        <v>6</v>
      </c>
      <c r="C111" s="90" t="s">
        <v>117</v>
      </c>
      <c r="D111" s="87" t="s">
        <v>9</v>
      </c>
      <c r="E111" s="111">
        <f>E108</f>
        <v>26.1</v>
      </c>
      <c r="F111" s="89"/>
      <c r="G111" s="89"/>
      <c r="H111" s="89"/>
      <c r="I111" s="89"/>
      <c r="J111" s="66"/>
      <c r="K111" s="89"/>
      <c r="L111" s="89"/>
      <c r="M111" s="89"/>
      <c r="N111" s="89"/>
      <c r="O111" s="89"/>
      <c r="P111" s="161"/>
    </row>
    <row r="112" spans="1:256" ht="15.75">
      <c r="A112" s="147">
        <v>95</v>
      </c>
      <c r="B112" s="64" t="s">
        <v>6</v>
      </c>
      <c r="C112" s="91" t="s">
        <v>118</v>
      </c>
      <c r="D112" s="80" t="s">
        <v>66</v>
      </c>
      <c r="E112" s="77">
        <f>E111*0.1</f>
        <v>2.61</v>
      </c>
      <c r="F112" s="89"/>
      <c r="G112" s="70"/>
      <c r="H112" s="89"/>
      <c r="I112" s="70"/>
      <c r="J112" s="66"/>
      <c r="K112" s="89"/>
      <c r="L112" s="89"/>
      <c r="M112" s="89"/>
      <c r="N112" s="89"/>
      <c r="O112" s="89"/>
      <c r="P112" s="161"/>
    </row>
    <row r="113" spans="1:16" ht="15.75">
      <c r="A113" s="147">
        <v>96</v>
      </c>
      <c r="B113" s="64" t="s">
        <v>6</v>
      </c>
      <c r="C113" s="90" t="s">
        <v>119</v>
      </c>
      <c r="D113" s="80" t="s">
        <v>66</v>
      </c>
      <c r="E113" s="89">
        <f>E109*0.05</f>
        <v>0.72</v>
      </c>
      <c r="F113" s="89"/>
      <c r="G113" s="89"/>
      <c r="H113" s="89"/>
      <c r="I113" s="89"/>
      <c r="J113" s="66"/>
      <c r="K113" s="89"/>
      <c r="L113" s="89"/>
      <c r="M113" s="89"/>
      <c r="N113" s="89"/>
      <c r="O113" s="89"/>
      <c r="P113" s="161"/>
    </row>
    <row r="114" spans="1:16">
      <c r="A114" s="117">
        <v>97</v>
      </c>
      <c r="B114" s="64" t="s">
        <v>84</v>
      </c>
      <c r="C114" s="118" t="s">
        <v>120</v>
      </c>
      <c r="D114" s="10" t="s">
        <v>9</v>
      </c>
      <c r="E114" s="111">
        <f>E108</f>
        <v>26.1</v>
      </c>
      <c r="F114" s="71"/>
      <c r="G114" s="82"/>
      <c r="H114" s="71"/>
      <c r="I114" s="70"/>
      <c r="J114" s="71"/>
      <c r="K114" s="70"/>
      <c r="L114" s="70"/>
      <c r="M114" s="70"/>
      <c r="N114" s="70"/>
      <c r="O114" s="70"/>
      <c r="P114" s="119"/>
    </row>
    <row r="115" spans="1:16">
      <c r="A115" s="147">
        <v>98</v>
      </c>
      <c r="B115" s="64" t="s">
        <v>84</v>
      </c>
      <c r="C115" s="166" t="s">
        <v>128</v>
      </c>
      <c r="D115" s="10" t="s">
        <v>9</v>
      </c>
      <c r="E115" s="111">
        <f>E108</f>
        <v>26.1</v>
      </c>
      <c r="F115" s="66"/>
      <c r="G115" s="82"/>
      <c r="H115" s="71"/>
      <c r="I115" s="66"/>
      <c r="J115" s="71"/>
      <c r="K115" s="70"/>
      <c r="L115" s="89"/>
      <c r="M115" s="89"/>
      <c r="N115" s="89"/>
      <c r="O115" s="89"/>
      <c r="P115" s="161"/>
    </row>
    <row r="116" spans="1:16">
      <c r="A116" s="147">
        <v>99</v>
      </c>
      <c r="B116" s="64" t="s">
        <v>84</v>
      </c>
      <c r="C116" s="92" t="s">
        <v>129</v>
      </c>
      <c r="D116" s="87" t="s">
        <v>9</v>
      </c>
      <c r="E116" s="77">
        <f>E108</f>
        <v>26.1</v>
      </c>
      <c r="F116" s="71"/>
      <c r="G116" s="70"/>
      <c r="H116" s="89"/>
      <c r="I116" s="70"/>
      <c r="J116" s="66"/>
      <c r="K116" s="89"/>
      <c r="L116" s="89"/>
      <c r="M116" s="89"/>
      <c r="N116" s="89"/>
      <c r="O116" s="89"/>
      <c r="P116" s="161"/>
    </row>
    <row r="117" spans="1:16" customFormat="1" ht="15" customHeight="1">
      <c r="A117" s="147">
        <v>100</v>
      </c>
      <c r="B117" s="64" t="s">
        <v>84</v>
      </c>
      <c r="C117" s="75" t="s">
        <v>131</v>
      </c>
      <c r="D117" s="80" t="s">
        <v>66</v>
      </c>
      <c r="E117" s="77">
        <f>E103*0.2</f>
        <v>5.22</v>
      </c>
      <c r="F117" s="71"/>
      <c r="G117" s="70"/>
      <c r="H117" s="89"/>
      <c r="I117" s="66"/>
      <c r="J117" s="66"/>
      <c r="K117" s="89"/>
      <c r="L117" s="89"/>
      <c r="M117" s="89"/>
      <c r="N117" s="89"/>
      <c r="O117" s="89"/>
      <c r="P117" s="161"/>
    </row>
    <row r="118" spans="1:16" customFormat="1" ht="15" customHeight="1">
      <c r="A118" s="117">
        <v>101</v>
      </c>
      <c r="B118" s="62" t="s">
        <v>105</v>
      </c>
      <c r="C118" s="166" t="s">
        <v>130</v>
      </c>
      <c r="D118" s="87" t="s">
        <v>9</v>
      </c>
      <c r="E118" s="77">
        <f>E108</f>
        <v>26.1</v>
      </c>
      <c r="F118" s="66"/>
      <c r="G118" s="70"/>
      <c r="H118" s="89"/>
      <c r="I118" s="66"/>
      <c r="J118" s="66"/>
      <c r="K118" s="70"/>
      <c r="L118" s="70"/>
      <c r="M118" s="70"/>
      <c r="N118" s="70"/>
      <c r="O118" s="70"/>
      <c r="P118" s="119"/>
    </row>
    <row r="119" spans="1:16" s="7" customFormat="1" ht="16.5" customHeight="1">
      <c r="A119" s="117">
        <v>102</v>
      </c>
      <c r="B119" s="62" t="s">
        <v>105</v>
      </c>
      <c r="C119" s="110" t="s">
        <v>112</v>
      </c>
      <c r="D119" s="10" t="s">
        <v>9</v>
      </c>
      <c r="E119" s="111">
        <f>26.2*3.8</f>
        <v>99.56</v>
      </c>
      <c r="F119" s="71"/>
      <c r="G119" s="82"/>
      <c r="H119" s="89"/>
      <c r="I119" s="70"/>
      <c r="J119" s="70"/>
      <c r="K119" s="70"/>
      <c r="L119" s="70"/>
      <c r="M119" s="70"/>
      <c r="N119" s="70"/>
      <c r="O119" s="70"/>
      <c r="P119" s="119"/>
    </row>
    <row r="120" spans="1:16" s="7" customFormat="1" ht="12.75">
      <c r="A120" s="117">
        <v>103</v>
      </c>
      <c r="B120" s="62" t="s">
        <v>105</v>
      </c>
      <c r="C120" s="118" t="s">
        <v>110</v>
      </c>
      <c r="D120" s="10" t="s">
        <v>9</v>
      </c>
      <c r="E120" s="111">
        <f>E119</f>
        <v>99.56</v>
      </c>
      <c r="F120" s="71"/>
      <c r="G120" s="82"/>
      <c r="H120" s="71"/>
      <c r="I120" s="70"/>
      <c r="J120" s="71"/>
      <c r="K120" s="70"/>
      <c r="L120" s="70"/>
      <c r="M120" s="70"/>
      <c r="N120" s="70"/>
      <c r="O120" s="70"/>
      <c r="P120" s="119"/>
    </row>
    <row r="121" spans="1:16" s="7" customFormat="1" ht="12.75">
      <c r="A121" s="117">
        <v>104</v>
      </c>
      <c r="B121" s="62" t="s">
        <v>105</v>
      </c>
      <c r="C121" s="118" t="s">
        <v>111</v>
      </c>
      <c r="D121" s="10" t="s">
        <v>9</v>
      </c>
      <c r="E121" s="111">
        <f>E119</f>
        <v>99.56</v>
      </c>
      <c r="F121" s="71"/>
      <c r="G121" s="82"/>
      <c r="H121" s="71"/>
      <c r="I121" s="70"/>
      <c r="J121" s="71"/>
      <c r="K121" s="70"/>
      <c r="L121" s="70"/>
      <c r="M121" s="70"/>
      <c r="N121" s="70"/>
      <c r="O121" s="70"/>
      <c r="P121" s="119"/>
    </row>
    <row r="122" spans="1:16" s="7" customFormat="1" ht="12.75">
      <c r="A122" s="117">
        <v>105</v>
      </c>
      <c r="B122" s="62" t="s">
        <v>105</v>
      </c>
      <c r="C122" s="118" t="s">
        <v>136</v>
      </c>
      <c r="D122" s="10" t="s">
        <v>9</v>
      </c>
      <c r="E122" s="111">
        <f>E119</f>
        <v>99.56</v>
      </c>
      <c r="F122" s="71"/>
      <c r="G122" s="82"/>
      <c r="H122" s="71"/>
      <c r="I122" s="70"/>
      <c r="J122" s="71"/>
      <c r="K122" s="70"/>
      <c r="L122" s="70"/>
      <c r="M122" s="70"/>
      <c r="N122" s="70"/>
      <c r="O122" s="70"/>
      <c r="P122" s="119"/>
    </row>
    <row r="123" spans="1:16" s="7" customFormat="1" ht="12.75">
      <c r="A123" s="147">
        <v>106</v>
      </c>
      <c r="B123" s="62" t="s">
        <v>105</v>
      </c>
      <c r="C123" s="98" t="s">
        <v>189</v>
      </c>
      <c r="D123" s="10" t="s">
        <v>44</v>
      </c>
      <c r="E123" s="291">
        <v>2</v>
      </c>
      <c r="F123" s="66"/>
      <c r="G123" s="82"/>
      <c r="H123" s="71"/>
      <c r="I123" s="66"/>
      <c r="J123" s="66"/>
      <c r="K123" s="82"/>
      <c r="L123" s="82"/>
      <c r="M123" s="82"/>
      <c r="N123" s="82"/>
      <c r="O123" s="82"/>
      <c r="P123" s="148"/>
    </row>
    <row r="124" spans="1:16" s="7" customFormat="1" ht="12.75">
      <c r="A124" s="164">
        <v>107</v>
      </c>
      <c r="B124" s="62" t="s">
        <v>105</v>
      </c>
      <c r="C124" s="98" t="s">
        <v>121</v>
      </c>
      <c r="D124" s="99" t="s">
        <v>44</v>
      </c>
      <c r="E124" s="293">
        <v>2</v>
      </c>
      <c r="F124" s="71"/>
      <c r="G124" s="81"/>
      <c r="H124" s="11"/>
      <c r="I124" s="71"/>
      <c r="J124" s="66"/>
      <c r="K124" s="66"/>
      <c r="L124" s="82"/>
      <c r="M124" s="82"/>
      <c r="N124" s="82"/>
      <c r="O124" s="82"/>
      <c r="P124" s="148"/>
    </row>
    <row r="125" spans="1:16" s="7" customFormat="1" ht="12.75">
      <c r="A125" s="147"/>
      <c r="B125" s="10"/>
      <c r="C125" s="68" t="s">
        <v>150</v>
      </c>
      <c r="D125" s="10"/>
      <c r="E125" s="74"/>
      <c r="F125" s="69"/>
      <c r="G125" s="82"/>
      <c r="H125" s="69"/>
      <c r="I125" s="69"/>
      <c r="J125" s="69"/>
      <c r="K125" s="69"/>
      <c r="L125" s="69"/>
      <c r="M125" s="69"/>
      <c r="N125" s="69"/>
      <c r="O125" s="69"/>
      <c r="P125" s="163"/>
    </row>
    <row r="126" spans="1:16" s="7" customFormat="1" ht="12.75">
      <c r="A126" s="147">
        <v>108</v>
      </c>
      <c r="B126" s="62" t="s">
        <v>8</v>
      </c>
      <c r="C126" s="83" t="s">
        <v>69</v>
      </c>
      <c r="D126" s="10" t="s">
        <v>9</v>
      </c>
      <c r="E126" s="71">
        <f>5.48*3.8</f>
        <v>20.82</v>
      </c>
      <c r="F126" s="71"/>
      <c r="G126" s="70"/>
      <c r="H126" s="82"/>
      <c r="I126" s="82"/>
      <c r="J126" s="66"/>
      <c r="K126" s="82"/>
      <c r="L126" s="82"/>
      <c r="M126" s="82"/>
      <c r="N126" s="82"/>
      <c r="O126" s="82"/>
      <c r="P126" s="148"/>
    </row>
    <row r="127" spans="1:16" s="7" customFormat="1" ht="15.75">
      <c r="A127" s="165">
        <v>109</v>
      </c>
      <c r="B127" s="64" t="s">
        <v>138</v>
      </c>
      <c r="C127" s="51" t="s">
        <v>144</v>
      </c>
      <c r="D127" s="80" t="s">
        <v>66</v>
      </c>
      <c r="E127" s="66">
        <f>0.5*1.1*2.1</f>
        <v>1.1599999999999999</v>
      </c>
      <c r="F127" s="66"/>
      <c r="G127" s="81"/>
      <c r="H127" s="66"/>
      <c r="I127" s="66"/>
      <c r="J127" s="66"/>
      <c r="K127" s="66"/>
      <c r="L127" s="89"/>
      <c r="M127" s="89"/>
      <c r="N127" s="89"/>
      <c r="O127" s="89"/>
      <c r="P127" s="161"/>
    </row>
    <row r="128" spans="1:16" s="7" customFormat="1" ht="25.5">
      <c r="A128" s="147">
        <v>110</v>
      </c>
      <c r="B128" s="64" t="s">
        <v>71</v>
      </c>
      <c r="C128" s="51" t="s">
        <v>143</v>
      </c>
      <c r="D128" s="10" t="s">
        <v>9</v>
      </c>
      <c r="E128" s="120">
        <f>3.1*3.8</f>
        <v>11.78</v>
      </c>
      <c r="F128" s="71"/>
      <c r="G128" s="70"/>
      <c r="H128" s="66"/>
      <c r="I128" s="71"/>
      <c r="J128" s="66"/>
      <c r="K128" s="82"/>
      <c r="L128" s="82"/>
      <c r="M128" s="82"/>
      <c r="N128" s="82"/>
      <c r="O128" s="82"/>
      <c r="P128" s="119"/>
    </row>
    <row r="129" spans="1:16" customFormat="1" ht="15" customHeight="1">
      <c r="A129" s="117">
        <v>111</v>
      </c>
      <c r="B129" s="62" t="s">
        <v>105</v>
      </c>
      <c r="C129" s="110" t="s">
        <v>115</v>
      </c>
      <c r="D129" s="10" t="s">
        <v>9</v>
      </c>
      <c r="E129" s="111">
        <f>16.3*3.8</f>
        <v>61.94</v>
      </c>
      <c r="F129" s="71"/>
      <c r="G129" s="82"/>
      <c r="H129" s="70"/>
      <c r="I129" s="71"/>
      <c r="J129" s="70"/>
      <c r="K129" s="70"/>
      <c r="L129" s="70"/>
      <c r="M129" s="70"/>
      <c r="N129" s="70"/>
      <c r="O129" s="70"/>
      <c r="P129" s="119"/>
    </row>
    <row r="130" spans="1:16" s="7" customFormat="1" ht="12.75">
      <c r="A130" s="117">
        <v>112</v>
      </c>
      <c r="B130" s="64" t="s">
        <v>8</v>
      </c>
      <c r="C130" s="110" t="s">
        <v>100</v>
      </c>
      <c r="D130" s="10" t="s">
        <v>9</v>
      </c>
      <c r="E130" s="111">
        <v>32.200000000000003</v>
      </c>
      <c r="F130" s="71"/>
      <c r="G130" s="71"/>
      <c r="H130" s="71"/>
      <c r="I130" s="71"/>
      <c r="J130" s="70"/>
      <c r="K130" s="71"/>
      <c r="L130" s="71"/>
      <c r="M130" s="71"/>
      <c r="N130" s="71"/>
      <c r="O130" s="71"/>
      <c r="P130" s="162"/>
    </row>
    <row r="131" spans="1:16" customFormat="1" ht="15" customHeight="1">
      <c r="A131" s="147">
        <v>113</v>
      </c>
      <c r="B131" s="64" t="s">
        <v>8</v>
      </c>
      <c r="C131" s="86" t="s">
        <v>124</v>
      </c>
      <c r="D131" s="87" t="s">
        <v>9</v>
      </c>
      <c r="E131" s="111">
        <f>E130</f>
        <v>32.200000000000003</v>
      </c>
      <c r="F131" s="88"/>
      <c r="G131" s="89"/>
      <c r="H131" s="71"/>
      <c r="I131" s="88"/>
      <c r="J131" s="66"/>
      <c r="K131" s="89"/>
      <c r="L131" s="89"/>
      <c r="M131" s="89"/>
      <c r="N131" s="89"/>
      <c r="O131" s="89"/>
      <c r="P131" s="161"/>
    </row>
    <row r="132" spans="1:16">
      <c r="A132" s="147">
        <v>114</v>
      </c>
      <c r="B132" s="64" t="s">
        <v>71</v>
      </c>
      <c r="C132" s="112" t="s">
        <v>125</v>
      </c>
      <c r="D132" s="87" t="s">
        <v>9</v>
      </c>
      <c r="E132" s="89">
        <f>E130</f>
        <v>32.200000000000003</v>
      </c>
      <c r="F132" s="89"/>
      <c r="G132" s="89"/>
      <c r="H132" s="89"/>
      <c r="I132" s="89"/>
      <c r="J132" s="66"/>
      <c r="K132" s="89"/>
      <c r="L132" s="89"/>
      <c r="M132" s="89"/>
      <c r="N132" s="89"/>
      <c r="O132" s="89"/>
      <c r="P132" s="161"/>
    </row>
    <row r="133" spans="1:16">
      <c r="A133" s="147">
        <v>115</v>
      </c>
      <c r="B133" s="64" t="s">
        <v>71</v>
      </c>
      <c r="C133" s="112" t="s">
        <v>126</v>
      </c>
      <c r="D133" s="87" t="s">
        <v>9</v>
      </c>
      <c r="E133" s="89">
        <f>E130</f>
        <v>32.200000000000003</v>
      </c>
      <c r="F133" s="79"/>
      <c r="G133" s="89"/>
      <c r="H133" s="89"/>
      <c r="I133" s="89"/>
      <c r="J133" s="66"/>
      <c r="K133" s="89"/>
      <c r="L133" s="89"/>
      <c r="M133" s="89"/>
      <c r="N133" s="89"/>
      <c r="O133" s="89"/>
      <c r="P133" s="161"/>
    </row>
    <row r="134" spans="1:16">
      <c r="A134" s="147">
        <v>116</v>
      </c>
      <c r="B134" s="62" t="s">
        <v>105</v>
      </c>
      <c r="C134" s="112" t="s">
        <v>127</v>
      </c>
      <c r="D134" s="87" t="s">
        <v>9</v>
      </c>
      <c r="E134" s="89">
        <f>E130</f>
        <v>32.200000000000003</v>
      </c>
      <c r="F134" s="89"/>
      <c r="G134" s="89"/>
      <c r="H134" s="89"/>
      <c r="I134" s="89"/>
      <c r="J134" s="66"/>
      <c r="K134" s="89"/>
      <c r="L134" s="89"/>
      <c r="M134" s="89"/>
      <c r="N134" s="89"/>
      <c r="O134" s="89"/>
      <c r="P134" s="161"/>
    </row>
    <row r="135" spans="1:16">
      <c r="A135" s="147">
        <v>117</v>
      </c>
      <c r="B135" s="64" t="s">
        <v>8</v>
      </c>
      <c r="C135" s="86" t="s">
        <v>81</v>
      </c>
      <c r="D135" s="87" t="s">
        <v>9</v>
      </c>
      <c r="E135" s="111">
        <f>E130</f>
        <v>32.200000000000003</v>
      </c>
      <c r="F135" s="88"/>
      <c r="G135" s="89"/>
      <c r="H135" s="89"/>
      <c r="I135" s="88"/>
      <c r="J135" s="66"/>
      <c r="K135" s="89"/>
      <c r="L135" s="89"/>
      <c r="M135" s="89"/>
      <c r="N135" s="89"/>
      <c r="O135" s="89"/>
      <c r="P135" s="161"/>
    </row>
    <row r="136" spans="1:16" ht="15.75">
      <c r="A136" s="147">
        <v>118</v>
      </c>
      <c r="B136" s="64" t="s">
        <v>6</v>
      </c>
      <c r="C136" s="112" t="s">
        <v>80</v>
      </c>
      <c r="D136" s="80" t="s">
        <v>66</v>
      </c>
      <c r="E136" s="89">
        <f>E135*0.55</f>
        <v>17.71</v>
      </c>
      <c r="F136" s="89"/>
      <c r="G136" s="89"/>
      <c r="H136" s="89"/>
      <c r="I136" s="89"/>
      <c r="J136" s="66"/>
      <c r="K136" s="89"/>
      <c r="L136" s="89"/>
      <c r="M136" s="89"/>
      <c r="N136" s="89"/>
      <c r="O136" s="89"/>
      <c r="P136" s="161"/>
    </row>
    <row r="137" spans="1:16" ht="15.75">
      <c r="A137" s="147">
        <v>119</v>
      </c>
      <c r="B137" s="64" t="s">
        <v>6</v>
      </c>
      <c r="C137" s="90" t="s">
        <v>74</v>
      </c>
      <c r="D137" s="80" t="s">
        <v>66</v>
      </c>
      <c r="E137" s="89">
        <f>E136</f>
        <v>17.71</v>
      </c>
      <c r="F137" s="89"/>
      <c r="G137" s="89"/>
      <c r="H137" s="89"/>
      <c r="I137" s="89"/>
      <c r="J137" s="66"/>
      <c r="K137" s="89"/>
      <c r="L137" s="89"/>
      <c r="M137" s="89"/>
      <c r="N137" s="89"/>
      <c r="O137" s="89"/>
      <c r="P137" s="161"/>
    </row>
    <row r="138" spans="1:16">
      <c r="A138" s="147">
        <v>120</v>
      </c>
      <c r="B138" s="64" t="s">
        <v>6</v>
      </c>
      <c r="C138" s="90" t="s">
        <v>117</v>
      </c>
      <c r="D138" s="87" t="s">
        <v>9</v>
      </c>
      <c r="E138" s="111">
        <f>E135</f>
        <v>32.200000000000003</v>
      </c>
      <c r="F138" s="89"/>
      <c r="G138" s="89"/>
      <c r="H138" s="89"/>
      <c r="I138" s="89"/>
      <c r="J138" s="66"/>
      <c r="K138" s="89"/>
      <c r="L138" s="89"/>
      <c r="M138" s="89"/>
      <c r="N138" s="89"/>
      <c r="O138" s="89"/>
      <c r="P138" s="161"/>
    </row>
    <row r="139" spans="1:16" ht="15.75">
      <c r="A139" s="147">
        <v>121</v>
      </c>
      <c r="B139" s="64" t="s">
        <v>6</v>
      </c>
      <c r="C139" s="91" t="s">
        <v>118</v>
      </c>
      <c r="D139" s="80" t="s">
        <v>66</v>
      </c>
      <c r="E139" s="77">
        <f>E138*0.1</f>
        <v>3.22</v>
      </c>
      <c r="F139" s="89"/>
      <c r="G139" s="70"/>
      <c r="H139" s="89"/>
      <c r="I139" s="70"/>
      <c r="J139" s="66"/>
      <c r="K139" s="89"/>
      <c r="L139" s="89"/>
      <c r="M139" s="89"/>
      <c r="N139" s="89"/>
      <c r="O139" s="89"/>
      <c r="P139" s="161"/>
    </row>
    <row r="140" spans="1:16" ht="15.75">
      <c r="A140" s="147">
        <v>122</v>
      </c>
      <c r="B140" s="64" t="s">
        <v>6</v>
      </c>
      <c r="C140" s="90" t="s">
        <v>119</v>
      </c>
      <c r="D140" s="80" t="s">
        <v>66</v>
      </c>
      <c r="E140" s="89">
        <f>E136*0.05</f>
        <v>0.89</v>
      </c>
      <c r="F140" s="89"/>
      <c r="G140" s="89"/>
      <c r="H140" s="89"/>
      <c r="I140" s="89"/>
      <c r="J140" s="66"/>
      <c r="K140" s="89"/>
      <c r="L140" s="89"/>
      <c r="M140" s="89"/>
      <c r="N140" s="89"/>
      <c r="O140" s="89"/>
      <c r="P140" s="161"/>
    </row>
    <row r="141" spans="1:16">
      <c r="A141" s="117">
        <v>123</v>
      </c>
      <c r="B141" s="64" t="s">
        <v>84</v>
      </c>
      <c r="C141" s="118" t="s">
        <v>120</v>
      </c>
      <c r="D141" s="10" t="s">
        <v>9</v>
      </c>
      <c r="E141" s="111">
        <f>E130</f>
        <v>32.200000000000003</v>
      </c>
      <c r="F141" s="71"/>
      <c r="G141" s="82"/>
      <c r="H141" s="71"/>
      <c r="I141" s="70"/>
      <c r="J141" s="71"/>
      <c r="K141" s="70"/>
      <c r="L141" s="70"/>
      <c r="M141" s="70"/>
      <c r="N141" s="70"/>
      <c r="O141" s="70"/>
      <c r="P141" s="119"/>
    </row>
    <row r="142" spans="1:16">
      <c r="A142" s="147">
        <v>124</v>
      </c>
      <c r="B142" s="64" t="s">
        <v>84</v>
      </c>
      <c r="C142" s="166" t="s">
        <v>128</v>
      </c>
      <c r="D142" s="10" t="s">
        <v>9</v>
      </c>
      <c r="E142" s="111">
        <f>E130</f>
        <v>32.200000000000003</v>
      </c>
      <c r="F142" s="66"/>
      <c r="G142" s="82"/>
      <c r="H142" s="71"/>
      <c r="I142" s="66"/>
      <c r="J142" s="71"/>
      <c r="K142" s="70"/>
      <c r="L142" s="89"/>
      <c r="M142" s="89"/>
      <c r="N142" s="89"/>
      <c r="O142" s="89"/>
      <c r="P142" s="161"/>
    </row>
    <row r="143" spans="1:16">
      <c r="A143" s="147">
        <v>125</v>
      </c>
      <c r="B143" s="64" t="s">
        <v>84</v>
      </c>
      <c r="C143" s="92" t="s">
        <v>129</v>
      </c>
      <c r="D143" s="87" t="s">
        <v>9</v>
      </c>
      <c r="E143" s="77">
        <f>E135</f>
        <v>32.200000000000003</v>
      </c>
      <c r="F143" s="71"/>
      <c r="G143" s="70"/>
      <c r="H143" s="89"/>
      <c r="I143" s="70"/>
      <c r="J143" s="66"/>
      <c r="K143" s="89"/>
      <c r="L143" s="89"/>
      <c r="M143" s="89"/>
      <c r="N143" s="89"/>
      <c r="O143" s="89"/>
      <c r="P143" s="161"/>
    </row>
    <row r="144" spans="1:16" ht="15.75">
      <c r="A144" s="147">
        <v>126</v>
      </c>
      <c r="B144" s="64" t="s">
        <v>84</v>
      </c>
      <c r="C144" s="75" t="s">
        <v>131</v>
      </c>
      <c r="D144" s="80" t="s">
        <v>66</v>
      </c>
      <c r="E144" s="77">
        <f>E130*0.2</f>
        <v>6.44</v>
      </c>
      <c r="F144" s="71"/>
      <c r="G144" s="70"/>
      <c r="H144" s="89"/>
      <c r="I144" s="66"/>
      <c r="J144" s="66"/>
      <c r="K144" s="89"/>
      <c r="L144" s="89"/>
      <c r="M144" s="89"/>
      <c r="N144" s="89"/>
      <c r="O144" s="89"/>
      <c r="P144" s="161"/>
    </row>
    <row r="145" spans="1:16">
      <c r="A145" s="117">
        <v>127</v>
      </c>
      <c r="B145" s="62" t="s">
        <v>105</v>
      </c>
      <c r="C145" s="166" t="s">
        <v>130</v>
      </c>
      <c r="D145" s="87" t="s">
        <v>9</v>
      </c>
      <c r="E145" s="77">
        <f>E135</f>
        <v>32.200000000000003</v>
      </c>
      <c r="F145" s="66"/>
      <c r="G145" s="70"/>
      <c r="H145" s="89"/>
      <c r="I145" s="66"/>
      <c r="J145" s="66"/>
      <c r="K145" s="70"/>
      <c r="L145" s="70"/>
      <c r="M145" s="70"/>
      <c r="N145" s="70"/>
      <c r="O145" s="70"/>
      <c r="P145" s="119"/>
    </row>
    <row r="146" spans="1:16">
      <c r="A146" s="147">
        <v>128</v>
      </c>
      <c r="B146" s="62" t="s">
        <v>105</v>
      </c>
      <c r="C146" s="98" t="s">
        <v>189</v>
      </c>
      <c r="D146" s="10" t="s">
        <v>44</v>
      </c>
      <c r="E146" s="291">
        <v>2</v>
      </c>
      <c r="F146" s="66"/>
      <c r="G146" s="82"/>
      <c r="H146" s="89"/>
      <c r="I146" s="66"/>
      <c r="J146" s="66"/>
      <c r="K146" s="69"/>
      <c r="L146" s="82"/>
      <c r="M146" s="82"/>
      <c r="N146" s="82"/>
      <c r="O146" s="82"/>
      <c r="P146" s="148"/>
    </row>
    <row r="147" spans="1:16">
      <c r="A147" s="164">
        <v>129</v>
      </c>
      <c r="B147" s="62" t="s">
        <v>105</v>
      </c>
      <c r="C147" s="98" t="s">
        <v>121</v>
      </c>
      <c r="D147" s="99" t="s">
        <v>44</v>
      </c>
      <c r="E147" s="293">
        <v>4</v>
      </c>
      <c r="F147" s="71"/>
      <c r="G147" s="81"/>
      <c r="H147" s="89"/>
      <c r="I147" s="121"/>
      <c r="J147" s="66"/>
      <c r="K147" s="66"/>
      <c r="L147" s="66"/>
      <c r="M147" s="66"/>
      <c r="N147" s="66"/>
      <c r="O147" s="66"/>
      <c r="P147" s="156"/>
    </row>
    <row r="148" spans="1:16">
      <c r="A148" s="147"/>
      <c r="B148" s="10"/>
      <c r="C148" s="68" t="s">
        <v>156</v>
      </c>
      <c r="D148" s="10"/>
      <c r="E148" s="74"/>
      <c r="F148" s="69"/>
      <c r="G148" s="82"/>
      <c r="H148" s="69"/>
      <c r="I148" s="69"/>
      <c r="J148" s="69"/>
      <c r="K148" s="69"/>
      <c r="L148" s="69"/>
      <c r="M148" s="69"/>
      <c r="N148" s="69"/>
      <c r="O148" s="69"/>
      <c r="P148" s="163"/>
    </row>
    <row r="149" spans="1:16">
      <c r="A149" s="147">
        <v>130</v>
      </c>
      <c r="B149" s="62" t="s">
        <v>8</v>
      </c>
      <c r="C149" s="83" t="s">
        <v>69</v>
      </c>
      <c r="D149" s="10" t="s">
        <v>9</v>
      </c>
      <c r="E149" s="71">
        <f>2.98*3.8</f>
        <v>11.32</v>
      </c>
      <c r="F149" s="71"/>
      <c r="G149" s="70"/>
      <c r="H149" s="82"/>
      <c r="I149" s="82"/>
      <c r="J149" s="66"/>
      <c r="K149" s="82"/>
      <c r="L149" s="82"/>
      <c r="M149" s="82"/>
      <c r="N149" s="82"/>
      <c r="O149" s="82"/>
      <c r="P149" s="148"/>
    </row>
    <row r="150" spans="1:16" ht="25.5">
      <c r="A150" s="147">
        <v>131</v>
      </c>
      <c r="B150" s="64" t="s">
        <v>71</v>
      </c>
      <c r="C150" s="51" t="s">
        <v>143</v>
      </c>
      <c r="D150" s="10" t="s">
        <v>9</v>
      </c>
      <c r="E150" s="120">
        <f>1.89*3.8</f>
        <v>7.1820000000000004</v>
      </c>
      <c r="F150" s="71"/>
      <c r="G150" s="70"/>
      <c r="H150" s="66"/>
      <c r="I150" s="71"/>
      <c r="J150" s="66"/>
      <c r="K150" s="82"/>
      <c r="L150" s="82"/>
      <c r="M150" s="82"/>
      <c r="N150" s="82"/>
      <c r="O150" s="82"/>
      <c r="P150" s="119"/>
    </row>
    <row r="151" spans="1:16">
      <c r="A151" s="117">
        <v>132</v>
      </c>
      <c r="B151" s="62" t="s">
        <v>105</v>
      </c>
      <c r="C151" s="110" t="s">
        <v>112</v>
      </c>
      <c r="D151" s="10" t="s">
        <v>9</v>
      </c>
      <c r="E151" s="111">
        <f>10.26*3.8</f>
        <v>38.99</v>
      </c>
      <c r="F151" s="71"/>
      <c r="G151" s="82"/>
      <c r="H151" s="89"/>
      <c r="I151" s="70"/>
      <c r="J151" s="70"/>
      <c r="K151" s="70"/>
      <c r="L151" s="70"/>
      <c r="M151" s="70"/>
      <c r="N151" s="70"/>
      <c r="O151" s="70"/>
      <c r="P151" s="119"/>
    </row>
    <row r="152" spans="1:16">
      <c r="A152" s="117">
        <v>133</v>
      </c>
      <c r="B152" s="62" t="s">
        <v>105</v>
      </c>
      <c r="C152" s="118" t="s">
        <v>110</v>
      </c>
      <c r="D152" s="10" t="s">
        <v>9</v>
      </c>
      <c r="E152" s="111">
        <f>E151+2.98*2*3.8</f>
        <v>61.64</v>
      </c>
      <c r="F152" s="71"/>
      <c r="G152" s="82"/>
      <c r="H152" s="71"/>
      <c r="I152" s="70"/>
      <c r="J152" s="71"/>
      <c r="K152" s="70"/>
      <c r="L152" s="70"/>
      <c r="M152" s="70"/>
      <c r="N152" s="70"/>
      <c r="O152" s="70"/>
      <c r="P152" s="119"/>
    </row>
    <row r="153" spans="1:16">
      <c r="A153" s="117">
        <v>134</v>
      </c>
      <c r="B153" s="62" t="s">
        <v>105</v>
      </c>
      <c r="C153" s="118" t="s">
        <v>111</v>
      </c>
      <c r="D153" s="10" t="s">
        <v>9</v>
      </c>
      <c r="E153" s="111">
        <f>E152</f>
        <v>61.64</v>
      </c>
      <c r="F153" s="71"/>
      <c r="G153" s="82"/>
      <c r="H153" s="71"/>
      <c r="I153" s="70"/>
      <c r="J153" s="71"/>
      <c r="K153" s="70"/>
      <c r="L153" s="70"/>
      <c r="M153" s="70"/>
      <c r="N153" s="70"/>
      <c r="O153" s="70"/>
      <c r="P153" s="119"/>
    </row>
    <row r="154" spans="1:16">
      <c r="A154" s="117">
        <v>135</v>
      </c>
      <c r="B154" s="62" t="s">
        <v>105</v>
      </c>
      <c r="C154" s="118" t="s">
        <v>136</v>
      </c>
      <c r="D154" s="10" t="s">
        <v>9</v>
      </c>
      <c r="E154" s="111">
        <f>E152</f>
        <v>61.64</v>
      </c>
      <c r="F154" s="71"/>
      <c r="G154" s="82"/>
      <c r="H154" s="71"/>
      <c r="I154" s="70"/>
      <c r="J154" s="71"/>
      <c r="K154" s="70"/>
      <c r="L154" s="70"/>
      <c r="M154" s="70"/>
      <c r="N154" s="70"/>
      <c r="O154" s="70"/>
      <c r="P154" s="119"/>
    </row>
    <row r="155" spans="1:16">
      <c r="A155" s="147">
        <v>136</v>
      </c>
      <c r="B155" s="64" t="s">
        <v>8</v>
      </c>
      <c r="C155" s="86" t="s">
        <v>81</v>
      </c>
      <c r="D155" s="87" t="s">
        <v>9</v>
      </c>
      <c r="E155" s="111">
        <v>22.5</v>
      </c>
      <c r="F155" s="88"/>
      <c r="G155" s="89"/>
      <c r="H155" s="89"/>
      <c r="I155" s="88"/>
      <c r="J155" s="66"/>
      <c r="K155" s="89"/>
      <c r="L155" s="89"/>
      <c r="M155" s="89"/>
      <c r="N155" s="89"/>
      <c r="O155" s="89"/>
      <c r="P155" s="161"/>
    </row>
    <row r="156" spans="1:16" ht="15.75">
      <c r="A156" s="147">
        <v>137</v>
      </c>
      <c r="B156" s="64" t="s">
        <v>6</v>
      </c>
      <c r="C156" s="112" t="s">
        <v>80</v>
      </c>
      <c r="D156" s="80" t="s">
        <v>66</v>
      </c>
      <c r="E156" s="89">
        <f>E155*0.55</f>
        <v>12.38</v>
      </c>
      <c r="F156" s="89"/>
      <c r="G156" s="89"/>
      <c r="H156" s="89"/>
      <c r="I156" s="89"/>
      <c r="J156" s="66"/>
      <c r="K156" s="89"/>
      <c r="L156" s="89"/>
      <c r="M156" s="89"/>
      <c r="N156" s="89"/>
      <c r="O156" s="89"/>
      <c r="P156" s="161"/>
    </row>
    <row r="157" spans="1:16" ht="15.75">
      <c r="A157" s="147">
        <v>138</v>
      </c>
      <c r="B157" s="64" t="s">
        <v>6</v>
      </c>
      <c r="C157" s="90" t="s">
        <v>74</v>
      </c>
      <c r="D157" s="80" t="s">
        <v>66</v>
      </c>
      <c r="E157" s="89">
        <f>E156</f>
        <v>12.38</v>
      </c>
      <c r="F157" s="89"/>
      <c r="G157" s="89"/>
      <c r="H157" s="89"/>
      <c r="I157" s="89"/>
      <c r="J157" s="66"/>
      <c r="K157" s="89"/>
      <c r="L157" s="89"/>
      <c r="M157" s="89"/>
      <c r="N157" s="89"/>
      <c r="O157" s="89"/>
      <c r="P157" s="161"/>
    </row>
    <row r="158" spans="1:16">
      <c r="A158" s="147">
        <v>139</v>
      </c>
      <c r="B158" s="64" t="s">
        <v>6</v>
      </c>
      <c r="C158" s="90" t="s">
        <v>117</v>
      </c>
      <c r="D158" s="87" t="s">
        <v>9</v>
      </c>
      <c r="E158" s="111">
        <f>E155</f>
        <v>22.5</v>
      </c>
      <c r="F158" s="89"/>
      <c r="G158" s="89"/>
      <c r="H158" s="89"/>
      <c r="I158" s="89"/>
      <c r="J158" s="66"/>
      <c r="K158" s="89"/>
      <c r="L158" s="89"/>
      <c r="M158" s="89"/>
      <c r="N158" s="89"/>
      <c r="O158" s="89"/>
      <c r="P158" s="161"/>
    </row>
    <row r="159" spans="1:16" ht="15.75">
      <c r="A159" s="147">
        <v>140</v>
      </c>
      <c r="B159" s="64" t="s">
        <v>6</v>
      </c>
      <c r="C159" s="91" t="s">
        <v>118</v>
      </c>
      <c r="D159" s="80" t="s">
        <v>66</v>
      </c>
      <c r="E159" s="77">
        <f>E158*0.1</f>
        <v>2.25</v>
      </c>
      <c r="F159" s="89"/>
      <c r="G159" s="70"/>
      <c r="H159" s="89"/>
      <c r="I159" s="70"/>
      <c r="J159" s="66"/>
      <c r="K159" s="89"/>
      <c r="L159" s="89"/>
      <c r="M159" s="89"/>
      <c r="N159" s="89"/>
      <c r="O159" s="89"/>
      <c r="P159" s="161"/>
    </row>
    <row r="160" spans="1:16" ht="15.75">
      <c r="A160" s="147">
        <v>141</v>
      </c>
      <c r="B160" s="64" t="s">
        <v>6</v>
      </c>
      <c r="C160" s="90" t="s">
        <v>119</v>
      </c>
      <c r="D160" s="80" t="s">
        <v>66</v>
      </c>
      <c r="E160" s="89">
        <f>E156*0.05</f>
        <v>0.62</v>
      </c>
      <c r="F160" s="89"/>
      <c r="G160" s="89"/>
      <c r="H160" s="89"/>
      <c r="I160" s="89"/>
      <c r="J160" s="66"/>
      <c r="K160" s="89"/>
      <c r="L160" s="89"/>
      <c r="M160" s="89"/>
      <c r="N160" s="89"/>
      <c r="O160" s="89"/>
      <c r="P160" s="161"/>
    </row>
    <row r="161" spans="1:16">
      <c r="A161" s="117">
        <v>142</v>
      </c>
      <c r="B161" s="64" t="s">
        <v>84</v>
      </c>
      <c r="C161" s="118" t="s">
        <v>120</v>
      </c>
      <c r="D161" s="10" t="s">
        <v>9</v>
      </c>
      <c r="E161" s="111">
        <f>E155</f>
        <v>22.5</v>
      </c>
      <c r="F161" s="71"/>
      <c r="G161" s="82"/>
      <c r="H161" s="71"/>
      <c r="I161" s="70"/>
      <c r="J161" s="71"/>
      <c r="K161" s="70"/>
      <c r="L161" s="70"/>
      <c r="M161" s="70"/>
      <c r="N161" s="70"/>
      <c r="O161" s="70"/>
      <c r="P161" s="119"/>
    </row>
    <row r="162" spans="1:16">
      <c r="A162" s="147">
        <v>143</v>
      </c>
      <c r="B162" s="64" t="s">
        <v>84</v>
      </c>
      <c r="C162" s="166" t="s">
        <v>128</v>
      </c>
      <c r="D162" s="10" t="s">
        <v>9</v>
      </c>
      <c r="E162" s="111">
        <f>E155</f>
        <v>22.5</v>
      </c>
      <c r="F162" s="66"/>
      <c r="G162" s="82"/>
      <c r="H162" s="71"/>
      <c r="I162" s="66"/>
      <c r="J162" s="71"/>
      <c r="K162" s="70"/>
      <c r="L162" s="89"/>
      <c r="M162" s="89"/>
      <c r="N162" s="89"/>
      <c r="O162" s="89"/>
      <c r="P162" s="161"/>
    </row>
    <row r="163" spans="1:16">
      <c r="A163" s="147">
        <v>144</v>
      </c>
      <c r="B163" s="64" t="s">
        <v>84</v>
      </c>
      <c r="C163" s="92" t="s">
        <v>129</v>
      </c>
      <c r="D163" s="87" t="s">
        <v>9</v>
      </c>
      <c r="E163" s="77">
        <f>E155</f>
        <v>22.5</v>
      </c>
      <c r="F163" s="71"/>
      <c r="G163" s="70"/>
      <c r="H163" s="89"/>
      <c r="I163" s="70"/>
      <c r="J163" s="66"/>
      <c r="K163" s="89"/>
      <c r="L163" s="89"/>
      <c r="M163" s="89"/>
      <c r="N163" s="89"/>
      <c r="O163" s="89"/>
      <c r="P163" s="161"/>
    </row>
    <row r="164" spans="1:16" ht="15.75">
      <c r="A164" s="147">
        <v>145</v>
      </c>
      <c r="B164" s="64" t="s">
        <v>84</v>
      </c>
      <c r="C164" s="75" t="s">
        <v>131</v>
      </c>
      <c r="D164" s="80" t="s">
        <v>66</v>
      </c>
      <c r="E164" s="77">
        <f>E155*0.2</f>
        <v>4.5</v>
      </c>
      <c r="F164" s="71"/>
      <c r="G164" s="70"/>
      <c r="H164" s="89"/>
      <c r="I164" s="66"/>
      <c r="J164" s="66"/>
      <c r="K164" s="89"/>
      <c r="L164" s="89"/>
      <c r="M164" s="89"/>
      <c r="N164" s="89"/>
      <c r="O164" s="89"/>
      <c r="P164" s="161"/>
    </row>
    <row r="165" spans="1:16">
      <c r="A165" s="117">
        <v>146</v>
      </c>
      <c r="B165" s="62" t="s">
        <v>105</v>
      </c>
      <c r="C165" s="166" t="s">
        <v>130</v>
      </c>
      <c r="D165" s="87" t="s">
        <v>9</v>
      </c>
      <c r="E165" s="77">
        <f>E155</f>
        <v>22.5</v>
      </c>
      <c r="F165" s="66"/>
      <c r="G165" s="70"/>
      <c r="H165" s="89"/>
      <c r="I165" s="66"/>
      <c r="J165" s="66"/>
      <c r="K165" s="70"/>
      <c r="L165" s="70"/>
      <c r="M165" s="70"/>
      <c r="N165" s="70"/>
      <c r="O165" s="70"/>
      <c r="P165" s="119"/>
    </row>
    <row r="166" spans="1:16">
      <c r="A166" s="147">
        <v>147</v>
      </c>
      <c r="B166" s="62" t="s">
        <v>105</v>
      </c>
      <c r="C166" s="98" t="s">
        <v>189</v>
      </c>
      <c r="D166" s="10" t="s">
        <v>44</v>
      </c>
      <c r="E166" s="291">
        <v>1</v>
      </c>
      <c r="F166" s="66"/>
      <c r="G166" s="82"/>
      <c r="H166" s="89"/>
      <c r="I166" s="66"/>
      <c r="J166" s="66"/>
      <c r="K166" s="69"/>
      <c r="L166" s="82"/>
      <c r="M166" s="82"/>
      <c r="N166" s="82"/>
      <c r="O166" s="82"/>
      <c r="P166" s="148"/>
    </row>
    <row r="167" spans="1:16">
      <c r="A167" s="164">
        <v>148</v>
      </c>
      <c r="B167" s="62" t="s">
        <v>105</v>
      </c>
      <c r="C167" s="98" t="s">
        <v>121</v>
      </c>
      <c r="D167" s="99" t="s">
        <v>44</v>
      </c>
      <c r="E167" s="293">
        <v>2</v>
      </c>
      <c r="F167" s="71"/>
      <c r="G167" s="81"/>
      <c r="H167" s="89"/>
      <c r="I167" s="122"/>
      <c r="J167" s="66"/>
      <c r="K167" s="66"/>
      <c r="L167" s="82"/>
      <c r="M167" s="82"/>
      <c r="N167" s="82"/>
      <c r="O167" s="82"/>
      <c r="P167" s="148"/>
    </row>
    <row r="168" spans="1:16">
      <c r="A168" s="164">
        <v>149</v>
      </c>
      <c r="B168" s="62" t="s">
        <v>105</v>
      </c>
      <c r="C168" s="98" t="s">
        <v>151</v>
      </c>
      <c r="D168" s="99" t="s">
        <v>73</v>
      </c>
      <c r="E168" s="100">
        <v>1</v>
      </c>
      <c r="F168" s="71"/>
      <c r="G168" s="81"/>
      <c r="H168" s="11"/>
      <c r="I168" s="71"/>
      <c r="J168" s="66"/>
      <c r="K168" s="66"/>
      <c r="L168" s="82"/>
      <c r="M168" s="82"/>
      <c r="N168" s="82"/>
      <c r="O168" s="82"/>
      <c r="P168" s="148"/>
    </row>
    <row r="169" spans="1:16">
      <c r="A169" s="147"/>
      <c r="B169" s="10"/>
      <c r="C169" s="68" t="s">
        <v>157</v>
      </c>
      <c r="D169" s="10"/>
      <c r="E169" s="74"/>
      <c r="F169" s="69"/>
      <c r="G169" s="82"/>
      <c r="H169" s="69"/>
      <c r="I169" s="69"/>
      <c r="J169" s="69"/>
      <c r="K169" s="69"/>
      <c r="L169" s="69"/>
      <c r="M169" s="69"/>
      <c r="N169" s="69"/>
      <c r="O169" s="69"/>
      <c r="P169" s="163"/>
    </row>
    <row r="170" spans="1:16" ht="15.75">
      <c r="A170" s="165">
        <v>150</v>
      </c>
      <c r="B170" s="64" t="s">
        <v>138</v>
      </c>
      <c r="C170" s="51" t="s">
        <v>144</v>
      </c>
      <c r="D170" s="80" t="s">
        <v>66</v>
      </c>
      <c r="E170" s="66">
        <f>0.5*3.81*2.25</f>
        <v>4.29</v>
      </c>
      <c r="F170" s="66"/>
      <c r="G170" s="81"/>
      <c r="H170" s="66"/>
      <c r="I170" s="66"/>
      <c r="J170" s="66"/>
      <c r="K170" s="66"/>
      <c r="L170" s="89"/>
      <c r="M170" s="89"/>
      <c r="N170" s="89"/>
      <c r="O170" s="89"/>
      <c r="P170" s="161"/>
    </row>
    <row r="171" spans="1:16">
      <c r="A171" s="117">
        <v>151</v>
      </c>
      <c r="B171" s="62" t="s">
        <v>105</v>
      </c>
      <c r="C171" s="110" t="s">
        <v>115</v>
      </c>
      <c r="D171" s="10" t="s">
        <v>9</v>
      </c>
      <c r="E171" s="111">
        <f>(2.98*2+3.81*2)*3.8</f>
        <v>51.6</v>
      </c>
      <c r="F171" s="71"/>
      <c r="G171" s="82"/>
      <c r="H171" s="70"/>
      <c r="I171" s="71"/>
      <c r="J171" s="70"/>
      <c r="K171" s="70"/>
      <c r="L171" s="70"/>
      <c r="M171" s="70"/>
      <c r="N171" s="70"/>
      <c r="O171" s="70"/>
      <c r="P171" s="119"/>
    </row>
    <row r="172" spans="1:16">
      <c r="A172" s="117">
        <v>152</v>
      </c>
      <c r="B172" s="64" t="s">
        <v>8</v>
      </c>
      <c r="C172" s="110" t="s">
        <v>100</v>
      </c>
      <c r="D172" s="10" t="s">
        <v>9</v>
      </c>
      <c r="E172" s="111">
        <v>11.3</v>
      </c>
      <c r="F172" s="71"/>
      <c r="G172" s="71"/>
      <c r="H172" s="71"/>
      <c r="I172" s="71"/>
      <c r="J172" s="70"/>
      <c r="K172" s="71"/>
      <c r="L172" s="71"/>
      <c r="M172" s="71"/>
      <c r="N172" s="71"/>
      <c r="O172" s="71"/>
      <c r="P172" s="162"/>
    </row>
    <row r="173" spans="1:16">
      <c r="A173" s="147">
        <v>153</v>
      </c>
      <c r="B173" s="64" t="s">
        <v>8</v>
      </c>
      <c r="C173" s="86" t="s">
        <v>124</v>
      </c>
      <c r="D173" s="87" t="s">
        <v>9</v>
      </c>
      <c r="E173" s="111">
        <f>E172</f>
        <v>11.3</v>
      </c>
      <c r="F173" s="88"/>
      <c r="G173" s="89"/>
      <c r="H173" s="71"/>
      <c r="I173" s="88"/>
      <c r="J173" s="66"/>
      <c r="K173" s="89"/>
      <c r="L173" s="89"/>
      <c r="M173" s="89"/>
      <c r="N173" s="89"/>
      <c r="O173" s="89"/>
      <c r="P173" s="161"/>
    </row>
    <row r="174" spans="1:16">
      <c r="A174" s="147">
        <v>154</v>
      </c>
      <c r="B174" s="64" t="s">
        <v>71</v>
      </c>
      <c r="C174" s="112" t="s">
        <v>125</v>
      </c>
      <c r="D174" s="87" t="s">
        <v>9</v>
      </c>
      <c r="E174" s="89">
        <f>E172</f>
        <v>11.3</v>
      </c>
      <c r="F174" s="89"/>
      <c r="G174" s="89"/>
      <c r="H174" s="89"/>
      <c r="I174" s="89"/>
      <c r="J174" s="66"/>
      <c r="K174" s="89"/>
      <c r="L174" s="89"/>
      <c r="M174" s="89"/>
      <c r="N174" s="89"/>
      <c r="O174" s="89"/>
      <c r="P174" s="161"/>
    </row>
    <row r="175" spans="1:16">
      <c r="A175" s="147">
        <v>155</v>
      </c>
      <c r="B175" s="64" t="s">
        <v>71</v>
      </c>
      <c r="C175" s="112" t="s">
        <v>126</v>
      </c>
      <c r="D175" s="87" t="s">
        <v>9</v>
      </c>
      <c r="E175" s="89">
        <f>E172</f>
        <v>11.3</v>
      </c>
      <c r="F175" s="79"/>
      <c r="G175" s="89"/>
      <c r="H175" s="89"/>
      <c r="I175" s="89"/>
      <c r="J175" s="66"/>
      <c r="K175" s="89"/>
      <c r="L175" s="89"/>
      <c r="M175" s="89"/>
      <c r="N175" s="89"/>
      <c r="O175" s="89"/>
      <c r="P175" s="161"/>
    </row>
    <row r="176" spans="1:16">
      <c r="A176" s="147">
        <v>156</v>
      </c>
      <c r="B176" s="62" t="s">
        <v>105</v>
      </c>
      <c r="C176" s="112" t="s">
        <v>127</v>
      </c>
      <c r="D176" s="87" t="s">
        <v>9</v>
      </c>
      <c r="E176" s="89">
        <f>E172</f>
        <v>11.3</v>
      </c>
      <c r="F176" s="89"/>
      <c r="G176" s="89"/>
      <c r="H176" s="89"/>
      <c r="I176" s="89"/>
      <c r="J176" s="66"/>
      <c r="K176" s="89"/>
      <c r="L176" s="89"/>
      <c r="M176" s="89"/>
      <c r="N176" s="89"/>
      <c r="O176" s="89"/>
      <c r="P176" s="161"/>
    </row>
    <row r="177" spans="1:16">
      <c r="A177" s="147">
        <v>157</v>
      </c>
      <c r="B177" s="64" t="s">
        <v>8</v>
      </c>
      <c r="C177" s="86" t="s">
        <v>81</v>
      </c>
      <c r="D177" s="87" t="s">
        <v>9</v>
      </c>
      <c r="E177" s="111">
        <f>E172</f>
        <v>11.3</v>
      </c>
      <c r="F177" s="88"/>
      <c r="G177" s="89"/>
      <c r="H177" s="89"/>
      <c r="I177" s="88"/>
      <c r="J177" s="66"/>
      <c r="K177" s="89"/>
      <c r="L177" s="89"/>
      <c r="M177" s="89"/>
      <c r="N177" s="89"/>
      <c r="O177" s="89"/>
      <c r="P177" s="161"/>
    </row>
    <row r="178" spans="1:16" ht="15.75">
      <c r="A178" s="147">
        <v>158</v>
      </c>
      <c r="B178" s="64" t="s">
        <v>6</v>
      </c>
      <c r="C178" s="112" t="s">
        <v>80</v>
      </c>
      <c r="D178" s="80" t="s">
        <v>66</v>
      </c>
      <c r="E178" s="89">
        <f>E177*0.55</f>
        <v>6.22</v>
      </c>
      <c r="F178" s="89"/>
      <c r="G178" s="89"/>
      <c r="H178" s="89"/>
      <c r="I178" s="89"/>
      <c r="J178" s="66"/>
      <c r="K178" s="89"/>
      <c r="L178" s="89"/>
      <c r="M178" s="89"/>
      <c r="N178" s="89"/>
      <c r="O178" s="89"/>
      <c r="P178" s="161"/>
    </row>
    <row r="179" spans="1:16" ht="15.75">
      <c r="A179" s="147">
        <v>159</v>
      </c>
      <c r="B179" s="64" t="s">
        <v>6</v>
      </c>
      <c r="C179" s="90" t="s">
        <v>74</v>
      </c>
      <c r="D179" s="80" t="s">
        <v>66</v>
      </c>
      <c r="E179" s="89">
        <f>E178</f>
        <v>6.22</v>
      </c>
      <c r="F179" s="89"/>
      <c r="G179" s="89"/>
      <c r="H179" s="89"/>
      <c r="I179" s="89"/>
      <c r="J179" s="66"/>
      <c r="K179" s="89"/>
      <c r="L179" s="89"/>
      <c r="M179" s="89"/>
      <c r="N179" s="89"/>
      <c r="O179" s="89"/>
      <c r="P179" s="161"/>
    </row>
    <row r="180" spans="1:16">
      <c r="A180" s="147">
        <v>160</v>
      </c>
      <c r="B180" s="64" t="s">
        <v>6</v>
      </c>
      <c r="C180" s="90" t="s">
        <v>117</v>
      </c>
      <c r="D180" s="87" t="s">
        <v>9</v>
      </c>
      <c r="E180" s="111">
        <f>E177</f>
        <v>11.3</v>
      </c>
      <c r="F180" s="89"/>
      <c r="G180" s="89"/>
      <c r="H180" s="89"/>
      <c r="I180" s="89"/>
      <c r="J180" s="66"/>
      <c r="K180" s="89"/>
      <c r="L180" s="89"/>
      <c r="M180" s="89"/>
      <c r="N180" s="89"/>
      <c r="O180" s="89"/>
      <c r="P180" s="161"/>
    </row>
    <row r="181" spans="1:16" ht="15.75">
      <c r="A181" s="147">
        <v>161</v>
      </c>
      <c r="B181" s="64" t="s">
        <v>6</v>
      </c>
      <c r="C181" s="91" t="s">
        <v>118</v>
      </c>
      <c r="D181" s="80" t="s">
        <v>66</v>
      </c>
      <c r="E181" s="77">
        <f>E180*0.1</f>
        <v>1.1299999999999999</v>
      </c>
      <c r="F181" s="89"/>
      <c r="G181" s="70"/>
      <c r="H181" s="89"/>
      <c r="I181" s="70"/>
      <c r="J181" s="66"/>
      <c r="K181" s="89"/>
      <c r="L181" s="89"/>
      <c r="M181" s="89"/>
      <c r="N181" s="89"/>
      <c r="O181" s="89"/>
      <c r="P181" s="161"/>
    </row>
    <row r="182" spans="1:16" ht="15.75">
      <c r="A182" s="147">
        <v>162</v>
      </c>
      <c r="B182" s="64" t="s">
        <v>6</v>
      </c>
      <c r="C182" s="90" t="s">
        <v>119</v>
      </c>
      <c r="D182" s="80" t="s">
        <v>66</v>
      </c>
      <c r="E182" s="89">
        <f>E178*0.05</f>
        <v>0.31</v>
      </c>
      <c r="F182" s="89"/>
      <c r="G182" s="89"/>
      <c r="H182" s="89"/>
      <c r="I182" s="89"/>
      <c r="J182" s="66"/>
      <c r="K182" s="89"/>
      <c r="L182" s="89"/>
      <c r="M182" s="89"/>
      <c r="N182" s="89"/>
      <c r="O182" s="89"/>
      <c r="P182" s="161"/>
    </row>
    <row r="183" spans="1:16">
      <c r="A183" s="117">
        <v>163</v>
      </c>
      <c r="B183" s="64" t="s">
        <v>84</v>
      </c>
      <c r="C183" s="118" t="s">
        <v>120</v>
      </c>
      <c r="D183" s="10" t="s">
        <v>9</v>
      </c>
      <c r="E183" s="111">
        <f>E172</f>
        <v>11.3</v>
      </c>
      <c r="F183" s="71"/>
      <c r="G183" s="82"/>
      <c r="H183" s="71"/>
      <c r="I183" s="70"/>
      <c r="J183" s="71"/>
      <c r="K183" s="70"/>
      <c r="L183" s="70"/>
      <c r="M183" s="70"/>
      <c r="N183" s="70"/>
      <c r="O183" s="70"/>
      <c r="P183" s="119"/>
    </row>
    <row r="184" spans="1:16">
      <c r="A184" s="147">
        <v>164</v>
      </c>
      <c r="B184" s="64" t="s">
        <v>84</v>
      </c>
      <c r="C184" s="166" t="s">
        <v>128</v>
      </c>
      <c r="D184" s="10" t="s">
        <v>9</v>
      </c>
      <c r="E184" s="111">
        <f>E172</f>
        <v>11.3</v>
      </c>
      <c r="F184" s="66"/>
      <c r="G184" s="82"/>
      <c r="H184" s="71"/>
      <c r="I184" s="66"/>
      <c r="J184" s="71"/>
      <c r="K184" s="70"/>
      <c r="L184" s="89"/>
      <c r="M184" s="89"/>
      <c r="N184" s="89"/>
      <c r="O184" s="89"/>
      <c r="P184" s="161"/>
    </row>
    <row r="185" spans="1:16">
      <c r="A185" s="147">
        <v>165</v>
      </c>
      <c r="B185" s="64" t="s">
        <v>84</v>
      </c>
      <c r="C185" s="92" t="s">
        <v>129</v>
      </c>
      <c r="D185" s="87" t="s">
        <v>9</v>
      </c>
      <c r="E185" s="77">
        <f>E177</f>
        <v>11.3</v>
      </c>
      <c r="F185" s="71"/>
      <c r="G185" s="70"/>
      <c r="H185" s="89"/>
      <c r="I185" s="70"/>
      <c r="J185" s="66"/>
      <c r="K185" s="89"/>
      <c r="L185" s="89"/>
      <c r="M185" s="89"/>
      <c r="N185" s="89"/>
      <c r="O185" s="89"/>
      <c r="P185" s="161"/>
    </row>
    <row r="186" spans="1:16" ht="15.75">
      <c r="A186" s="147">
        <v>166</v>
      </c>
      <c r="B186" s="64" t="s">
        <v>84</v>
      </c>
      <c r="C186" s="75" t="s">
        <v>131</v>
      </c>
      <c r="D186" s="80" t="s">
        <v>66</v>
      </c>
      <c r="E186" s="77">
        <f>E172*0.2</f>
        <v>2.2599999999999998</v>
      </c>
      <c r="F186" s="71"/>
      <c r="G186" s="70"/>
      <c r="H186" s="89"/>
      <c r="I186" s="66"/>
      <c r="J186" s="66"/>
      <c r="K186" s="89"/>
      <c r="L186" s="89"/>
      <c r="M186" s="89"/>
      <c r="N186" s="89"/>
      <c r="O186" s="89"/>
      <c r="P186" s="161"/>
    </row>
    <row r="187" spans="1:16">
      <c r="A187" s="117">
        <v>167</v>
      </c>
      <c r="B187" s="62" t="s">
        <v>105</v>
      </c>
      <c r="C187" s="166" t="s">
        <v>130</v>
      </c>
      <c r="D187" s="87" t="s">
        <v>9</v>
      </c>
      <c r="E187" s="77">
        <f>E177</f>
        <v>11.3</v>
      </c>
      <c r="F187" s="66"/>
      <c r="G187" s="70"/>
      <c r="H187" s="89"/>
      <c r="I187" s="66"/>
      <c r="J187" s="66"/>
      <c r="K187" s="70"/>
      <c r="L187" s="70"/>
      <c r="M187" s="70"/>
      <c r="N187" s="70"/>
      <c r="O187" s="70"/>
      <c r="P187" s="119"/>
    </row>
    <row r="188" spans="1:16">
      <c r="A188" s="147">
        <v>168</v>
      </c>
      <c r="B188" s="62" t="s">
        <v>105</v>
      </c>
      <c r="C188" s="98" t="s">
        <v>189</v>
      </c>
      <c r="D188" s="10" t="s">
        <v>44</v>
      </c>
      <c r="E188" s="291">
        <v>1</v>
      </c>
      <c r="F188" s="66"/>
      <c r="G188" s="82"/>
      <c r="H188" s="89"/>
      <c r="I188" s="66"/>
      <c r="J188" s="66"/>
      <c r="K188" s="69"/>
      <c r="L188" s="82"/>
      <c r="M188" s="82"/>
      <c r="N188" s="82"/>
      <c r="O188" s="82"/>
      <c r="P188" s="148"/>
    </row>
    <row r="189" spans="1:16">
      <c r="A189" s="147"/>
      <c r="B189" s="10"/>
      <c r="C189" s="68" t="s">
        <v>158</v>
      </c>
      <c r="D189" s="10"/>
      <c r="E189" s="74"/>
      <c r="F189" s="69"/>
      <c r="G189" s="82"/>
      <c r="H189" s="69"/>
      <c r="I189" s="69"/>
      <c r="J189" s="69"/>
      <c r="K189" s="69"/>
      <c r="L189" s="69"/>
      <c r="M189" s="69"/>
      <c r="N189" s="69"/>
      <c r="O189" s="69"/>
      <c r="P189" s="163"/>
    </row>
    <row r="190" spans="1:16">
      <c r="A190" s="117">
        <v>169</v>
      </c>
      <c r="B190" s="62" t="s">
        <v>105</v>
      </c>
      <c r="C190" s="110" t="s">
        <v>132</v>
      </c>
      <c r="D190" s="10" t="s">
        <v>9</v>
      </c>
      <c r="E190" s="111">
        <v>94.8</v>
      </c>
      <c r="F190" s="71"/>
      <c r="G190" s="82"/>
      <c r="H190" s="11"/>
      <c r="I190" s="70"/>
      <c r="J190" s="70"/>
      <c r="K190" s="70"/>
      <c r="L190" s="70"/>
      <c r="M190" s="70"/>
      <c r="N190" s="70"/>
      <c r="O190" s="70"/>
      <c r="P190" s="119"/>
    </row>
    <row r="191" spans="1:16">
      <c r="A191" s="117">
        <v>170</v>
      </c>
      <c r="B191" s="62" t="s">
        <v>105</v>
      </c>
      <c r="C191" s="118" t="s">
        <v>133</v>
      </c>
      <c r="D191" s="10" t="s">
        <v>9</v>
      </c>
      <c r="E191" s="111">
        <f>E190</f>
        <v>94.8</v>
      </c>
      <c r="F191" s="71"/>
      <c r="G191" s="82"/>
      <c r="H191" s="71"/>
      <c r="I191" s="70"/>
      <c r="J191" s="71"/>
      <c r="K191" s="70"/>
      <c r="L191" s="70"/>
      <c r="M191" s="70"/>
      <c r="N191" s="70"/>
      <c r="O191" s="70"/>
      <c r="P191" s="119"/>
    </row>
    <row r="192" spans="1:16">
      <c r="A192" s="117">
        <v>171</v>
      </c>
      <c r="B192" s="62" t="s">
        <v>105</v>
      </c>
      <c r="C192" s="118" t="s">
        <v>134</v>
      </c>
      <c r="D192" s="10" t="s">
        <v>9</v>
      </c>
      <c r="E192" s="111">
        <f>E190</f>
        <v>94.8</v>
      </c>
      <c r="F192" s="71"/>
      <c r="G192" s="82"/>
      <c r="H192" s="71"/>
      <c r="I192" s="70"/>
      <c r="J192" s="71"/>
      <c r="K192" s="70"/>
      <c r="L192" s="70"/>
      <c r="M192" s="70"/>
      <c r="N192" s="70"/>
      <c r="O192" s="70"/>
      <c r="P192" s="119"/>
    </row>
    <row r="193" spans="1:16">
      <c r="A193" s="117">
        <v>172</v>
      </c>
      <c r="B193" s="62" t="s">
        <v>105</v>
      </c>
      <c r="C193" s="118" t="s">
        <v>135</v>
      </c>
      <c r="D193" s="10" t="s">
        <v>9</v>
      </c>
      <c r="E193" s="111">
        <f>E190</f>
        <v>94.8</v>
      </c>
      <c r="F193" s="71"/>
      <c r="G193" s="82"/>
      <c r="H193" s="71"/>
      <c r="I193" s="70"/>
      <c r="J193" s="71"/>
      <c r="K193" s="70"/>
      <c r="L193" s="70"/>
      <c r="M193" s="70"/>
      <c r="N193" s="70"/>
      <c r="O193" s="70"/>
      <c r="P193" s="119"/>
    </row>
    <row r="194" spans="1:16">
      <c r="A194" s="117">
        <v>173</v>
      </c>
      <c r="B194" s="62" t="s">
        <v>105</v>
      </c>
      <c r="C194" s="110" t="s">
        <v>112</v>
      </c>
      <c r="D194" s="10" t="s">
        <v>9</v>
      </c>
      <c r="E194" s="111">
        <f>(10.8*2+8.68*2)*3.03</f>
        <v>118.05</v>
      </c>
      <c r="F194" s="71"/>
      <c r="G194" s="82"/>
      <c r="H194" s="71"/>
      <c r="I194" s="70"/>
      <c r="J194" s="70"/>
      <c r="K194" s="70"/>
      <c r="L194" s="70"/>
      <c r="M194" s="70"/>
      <c r="N194" s="70"/>
      <c r="O194" s="70"/>
      <c r="P194" s="119"/>
    </row>
    <row r="195" spans="1:16">
      <c r="A195" s="117">
        <v>174</v>
      </c>
      <c r="B195" s="62" t="s">
        <v>105</v>
      </c>
      <c r="C195" s="118" t="s">
        <v>110</v>
      </c>
      <c r="D195" s="10" t="s">
        <v>9</v>
      </c>
      <c r="E195" s="111">
        <f>E194</f>
        <v>118.05</v>
      </c>
      <c r="F195" s="71"/>
      <c r="G195" s="82"/>
      <c r="H195" s="71"/>
      <c r="I195" s="70"/>
      <c r="J195" s="71"/>
      <c r="K195" s="70"/>
      <c r="L195" s="70"/>
      <c r="M195" s="70"/>
      <c r="N195" s="70"/>
      <c r="O195" s="70"/>
      <c r="P195" s="119"/>
    </row>
    <row r="196" spans="1:16">
      <c r="A196" s="117">
        <v>175</v>
      </c>
      <c r="B196" s="62" t="s">
        <v>105</v>
      </c>
      <c r="C196" s="118" t="s">
        <v>111</v>
      </c>
      <c r="D196" s="10" t="s">
        <v>9</v>
      </c>
      <c r="E196" s="111">
        <f>E195</f>
        <v>118.05</v>
      </c>
      <c r="F196" s="71"/>
      <c r="G196" s="82"/>
      <c r="H196" s="71"/>
      <c r="I196" s="70"/>
      <c r="J196" s="71"/>
      <c r="K196" s="70"/>
      <c r="L196" s="70"/>
      <c r="M196" s="70"/>
      <c r="N196" s="70"/>
      <c r="O196" s="70"/>
      <c r="P196" s="119"/>
    </row>
    <row r="197" spans="1:16">
      <c r="A197" s="117">
        <v>176</v>
      </c>
      <c r="B197" s="62" t="s">
        <v>105</v>
      </c>
      <c r="C197" s="118" t="s">
        <v>136</v>
      </c>
      <c r="D197" s="10" t="s">
        <v>9</v>
      </c>
      <c r="E197" s="111">
        <f>E195</f>
        <v>118.05</v>
      </c>
      <c r="F197" s="71"/>
      <c r="G197" s="82"/>
      <c r="H197" s="71"/>
      <c r="I197" s="70"/>
      <c r="J197" s="71"/>
      <c r="K197" s="70"/>
      <c r="L197" s="70"/>
      <c r="M197" s="70"/>
      <c r="N197" s="70"/>
      <c r="O197" s="70"/>
      <c r="P197" s="119"/>
    </row>
    <row r="198" spans="1:16">
      <c r="A198" s="147">
        <v>177</v>
      </c>
      <c r="B198" s="64" t="s">
        <v>71</v>
      </c>
      <c r="C198" s="51" t="s">
        <v>140</v>
      </c>
      <c r="D198" s="99" t="s">
        <v>73</v>
      </c>
      <c r="E198" s="113">
        <v>1</v>
      </c>
      <c r="F198" s="122"/>
      <c r="G198" s="81"/>
      <c r="H198" s="11"/>
      <c r="I198" s="122"/>
      <c r="J198" s="66"/>
      <c r="K198" s="82"/>
      <c r="L198" s="82"/>
      <c r="M198" s="82"/>
      <c r="N198" s="82"/>
      <c r="O198" s="82"/>
      <c r="P198" s="148"/>
    </row>
    <row r="199" spans="1:16">
      <c r="A199" s="164">
        <v>178</v>
      </c>
      <c r="B199" s="62" t="s">
        <v>105</v>
      </c>
      <c r="C199" s="98" t="s">
        <v>121</v>
      </c>
      <c r="D199" s="99" t="s">
        <v>44</v>
      </c>
      <c r="E199" s="113">
        <v>2</v>
      </c>
      <c r="F199" s="71"/>
      <c r="G199" s="81"/>
      <c r="H199" s="89"/>
      <c r="I199" s="71"/>
      <c r="J199" s="66"/>
      <c r="K199" s="66"/>
      <c r="L199" s="82"/>
      <c r="M199" s="82"/>
      <c r="N199" s="82"/>
      <c r="O199" s="82"/>
      <c r="P199" s="148"/>
    </row>
    <row r="200" spans="1:16">
      <c r="A200" s="147"/>
      <c r="B200" s="10"/>
      <c r="C200" s="68" t="s">
        <v>159</v>
      </c>
      <c r="D200" s="10"/>
      <c r="E200" s="74"/>
      <c r="F200" s="69"/>
      <c r="G200" s="82"/>
      <c r="H200" s="69"/>
      <c r="I200" s="69"/>
      <c r="J200" s="69"/>
      <c r="K200" s="69"/>
      <c r="L200" s="69"/>
      <c r="M200" s="69"/>
      <c r="N200" s="69"/>
      <c r="O200" s="69"/>
      <c r="P200" s="163"/>
    </row>
    <row r="201" spans="1:16">
      <c r="A201" s="117">
        <v>179</v>
      </c>
      <c r="B201" s="62" t="s">
        <v>105</v>
      </c>
      <c r="C201" s="110" t="s">
        <v>112</v>
      </c>
      <c r="D201" s="10" t="s">
        <v>9</v>
      </c>
      <c r="E201" s="111">
        <f>(5*2+4.7*2)*3.8</f>
        <v>73.72</v>
      </c>
      <c r="F201" s="71"/>
      <c r="G201" s="82"/>
      <c r="H201" s="71"/>
      <c r="I201" s="70"/>
      <c r="J201" s="70"/>
      <c r="K201" s="70"/>
      <c r="L201" s="70"/>
      <c r="M201" s="70"/>
      <c r="N201" s="70"/>
      <c r="O201" s="70"/>
      <c r="P201" s="119"/>
    </row>
    <row r="202" spans="1:16">
      <c r="A202" s="117">
        <v>180</v>
      </c>
      <c r="B202" s="62" t="s">
        <v>105</v>
      </c>
      <c r="C202" s="118" t="s">
        <v>110</v>
      </c>
      <c r="D202" s="10" t="s">
        <v>9</v>
      </c>
      <c r="E202" s="111">
        <f>E201</f>
        <v>73.72</v>
      </c>
      <c r="F202" s="71"/>
      <c r="G202" s="82"/>
      <c r="H202" s="71"/>
      <c r="I202" s="70"/>
      <c r="J202" s="71"/>
      <c r="K202" s="70"/>
      <c r="L202" s="70"/>
      <c r="M202" s="70"/>
      <c r="N202" s="70"/>
      <c r="O202" s="70"/>
      <c r="P202" s="119"/>
    </row>
    <row r="203" spans="1:16">
      <c r="A203" s="117">
        <v>181</v>
      </c>
      <c r="B203" s="62" t="s">
        <v>105</v>
      </c>
      <c r="C203" s="118" t="s">
        <v>111</v>
      </c>
      <c r="D203" s="10" t="s">
        <v>9</v>
      </c>
      <c r="E203" s="111">
        <f>E202</f>
        <v>73.72</v>
      </c>
      <c r="F203" s="71"/>
      <c r="G203" s="82"/>
      <c r="H203" s="71"/>
      <c r="I203" s="70"/>
      <c r="J203" s="71"/>
      <c r="K203" s="70"/>
      <c r="L203" s="70"/>
      <c r="M203" s="70"/>
      <c r="N203" s="70"/>
      <c r="O203" s="70"/>
      <c r="P203" s="119"/>
    </row>
    <row r="204" spans="1:16">
      <c r="A204" s="117">
        <v>182</v>
      </c>
      <c r="B204" s="62" t="s">
        <v>105</v>
      </c>
      <c r="C204" s="118" t="s">
        <v>136</v>
      </c>
      <c r="D204" s="10" t="s">
        <v>9</v>
      </c>
      <c r="E204" s="111">
        <f>E202</f>
        <v>73.72</v>
      </c>
      <c r="F204" s="71"/>
      <c r="G204" s="82"/>
      <c r="H204" s="71"/>
      <c r="I204" s="70"/>
      <c r="J204" s="71"/>
      <c r="K204" s="70"/>
      <c r="L204" s="70"/>
      <c r="M204" s="70"/>
      <c r="N204" s="70"/>
      <c r="O204" s="70"/>
      <c r="P204" s="119"/>
    </row>
    <row r="205" spans="1:16">
      <c r="A205" s="117">
        <v>183</v>
      </c>
      <c r="B205" s="64" t="s">
        <v>8</v>
      </c>
      <c r="C205" s="110" t="s">
        <v>100</v>
      </c>
      <c r="D205" s="10" t="s">
        <v>9</v>
      </c>
      <c r="E205" s="111">
        <v>23.5</v>
      </c>
      <c r="F205" s="71"/>
      <c r="G205" s="71"/>
      <c r="H205" s="71"/>
      <c r="I205" s="71"/>
      <c r="J205" s="70"/>
      <c r="K205" s="71"/>
      <c r="L205" s="71"/>
      <c r="M205" s="71"/>
      <c r="N205" s="71"/>
      <c r="O205" s="71"/>
      <c r="P205" s="162"/>
    </row>
    <row r="206" spans="1:16">
      <c r="A206" s="147">
        <v>184</v>
      </c>
      <c r="B206" s="64" t="s">
        <v>8</v>
      </c>
      <c r="C206" s="86" t="s">
        <v>124</v>
      </c>
      <c r="D206" s="87" t="s">
        <v>9</v>
      </c>
      <c r="E206" s="111">
        <f>E205</f>
        <v>23.5</v>
      </c>
      <c r="F206" s="88"/>
      <c r="G206" s="89"/>
      <c r="H206" s="71"/>
      <c r="I206" s="88"/>
      <c r="J206" s="66"/>
      <c r="K206" s="89"/>
      <c r="L206" s="89"/>
      <c r="M206" s="89"/>
      <c r="N206" s="89"/>
      <c r="O206" s="89"/>
      <c r="P206" s="161"/>
    </row>
    <row r="207" spans="1:16">
      <c r="A207" s="147">
        <v>185</v>
      </c>
      <c r="B207" s="64" t="s">
        <v>71</v>
      </c>
      <c r="C207" s="112" t="s">
        <v>125</v>
      </c>
      <c r="D207" s="87" t="s">
        <v>9</v>
      </c>
      <c r="E207" s="89">
        <f>E205</f>
        <v>23.5</v>
      </c>
      <c r="F207" s="89"/>
      <c r="G207" s="89"/>
      <c r="H207" s="89"/>
      <c r="I207" s="89"/>
      <c r="J207" s="66"/>
      <c r="K207" s="89"/>
      <c r="L207" s="89"/>
      <c r="M207" s="89"/>
      <c r="N207" s="89"/>
      <c r="O207" s="89"/>
      <c r="P207" s="161"/>
    </row>
    <row r="208" spans="1:16">
      <c r="A208" s="147">
        <v>186</v>
      </c>
      <c r="B208" s="64" t="s">
        <v>71</v>
      </c>
      <c r="C208" s="112" t="s">
        <v>126</v>
      </c>
      <c r="D208" s="87" t="s">
        <v>9</v>
      </c>
      <c r="E208" s="89">
        <f>E205</f>
        <v>23.5</v>
      </c>
      <c r="F208" s="70"/>
      <c r="G208" s="89"/>
      <c r="H208" s="89"/>
      <c r="I208" s="89"/>
      <c r="J208" s="66"/>
      <c r="K208" s="89"/>
      <c r="L208" s="89"/>
      <c r="M208" s="89"/>
      <c r="N208" s="89"/>
      <c r="O208" s="89"/>
      <c r="P208" s="161"/>
    </row>
    <row r="209" spans="1:16">
      <c r="A209" s="147">
        <v>187</v>
      </c>
      <c r="B209" s="62" t="s">
        <v>105</v>
      </c>
      <c r="C209" s="112" t="s">
        <v>127</v>
      </c>
      <c r="D209" s="87" t="s">
        <v>9</v>
      </c>
      <c r="E209" s="89">
        <f>E205</f>
        <v>23.5</v>
      </c>
      <c r="F209" s="89"/>
      <c r="G209" s="89"/>
      <c r="H209" s="89"/>
      <c r="I209" s="89"/>
      <c r="J209" s="66"/>
      <c r="K209" s="89"/>
      <c r="L209" s="89"/>
      <c r="M209" s="89"/>
      <c r="N209" s="89"/>
      <c r="O209" s="89"/>
      <c r="P209" s="161"/>
    </row>
    <row r="210" spans="1:16">
      <c r="A210" s="147">
        <v>188</v>
      </c>
      <c r="B210" s="64" t="s">
        <v>8</v>
      </c>
      <c r="C210" s="86" t="s">
        <v>81</v>
      </c>
      <c r="D210" s="87" t="s">
        <v>9</v>
      </c>
      <c r="E210" s="111">
        <f>E205</f>
        <v>23.5</v>
      </c>
      <c r="F210" s="88"/>
      <c r="G210" s="89"/>
      <c r="H210" s="89"/>
      <c r="I210" s="88"/>
      <c r="J210" s="66"/>
      <c r="K210" s="89"/>
      <c r="L210" s="89"/>
      <c r="M210" s="89"/>
      <c r="N210" s="89"/>
      <c r="O210" s="89"/>
      <c r="P210" s="161"/>
    </row>
    <row r="211" spans="1:16" ht="15.75">
      <c r="A211" s="147">
        <v>189</v>
      </c>
      <c r="B211" s="64" t="s">
        <v>6</v>
      </c>
      <c r="C211" s="112" t="s">
        <v>80</v>
      </c>
      <c r="D211" s="80" t="s">
        <v>66</v>
      </c>
      <c r="E211" s="89">
        <f>E210*0.55</f>
        <v>12.93</v>
      </c>
      <c r="F211" s="89"/>
      <c r="G211" s="89"/>
      <c r="H211" s="89"/>
      <c r="I211" s="89"/>
      <c r="J211" s="66"/>
      <c r="K211" s="89"/>
      <c r="L211" s="89"/>
      <c r="M211" s="89"/>
      <c r="N211" s="89"/>
      <c r="O211" s="89"/>
      <c r="P211" s="161"/>
    </row>
    <row r="212" spans="1:16" ht="15.75">
      <c r="A212" s="147">
        <v>190</v>
      </c>
      <c r="B212" s="64" t="s">
        <v>6</v>
      </c>
      <c r="C212" s="90" t="s">
        <v>74</v>
      </c>
      <c r="D212" s="80" t="s">
        <v>66</v>
      </c>
      <c r="E212" s="89">
        <f>E211</f>
        <v>12.93</v>
      </c>
      <c r="F212" s="89"/>
      <c r="G212" s="89"/>
      <c r="H212" s="89"/>
      <c r="I212" s="89"/>
      <c r="J212" s="66"/>
      <c r="K212" s="89"/>
      <c r="L212" s="89"/>
      <c r="M212" s="89"/>
      <c r="N212" s="89"/>
      <c r="O212" s="89"/>
      <c r="P212" s="161"/>
    </row>
    <row r="213" spans="1:16">
      <c r="A213" s="147">
        <v>191</v>
      </c>
      <c r="B213" s="64" t="s">
        <v>6</v>
      </c>
      <c r="C213" s="90" t="s">
        <v>117</v>
      </c>
      <c r="D213" s="87" t="s">
        <v>9</v>
      </c>
      <c r="E213" s="111">
        <f>E210</f>
        <v>23.5</v>
      </c>
      <c r="F213" s="89"/>
      <c r="G213" s="89"/>
      <c r="H213" s="89"/>
      <c r="I213" s="89"/>
      <c r="J213" s="66"/>
      <c r="K213" s="89"/>
      <c r="L213" s="89"/>
      <c r="M213" s="89"/>
      <c r="N213" s="89"/>
      <c r="O213" s="89"/>
      <c r="P213" s="161"/>
    </row>
    <row r="214" spans="1:16" ht="15.75">
      <c r="A214" s="147">
        <v>192</v>
      </c>
      <c r="B214" s="64" t="s">
        <v>6</v>
      </c>
      <c r="C214" s="91" t="s">
        <v>118</v>
      </c>
      <c r="D214" s="80" t="s">
        <v>66</v>
      </c>
      <c r="E214" s="77">
        <f>E213*0.1</f>
        <v>2.35</v>
      </c>
      <c r="F214" s="89"/>
      <c r="G214" s="70"/>
      <c r="H214" s="89"/>
      <c r="I214" s="70"/>
      <c r="J214" s="66"/>
      <c r="K214" s="89"/>
      <c r="L214" s="89"/>
      <c r="M214" s="89"/>
      <c r="N214" s="89"/>
      <c r="O214" s="89"/>
      <c r="P214" s="161"/>
    </row>
    <row r="215" spans="1:16" ht="15.75">
      <c r="A215" s="147">
        <v>193</v>
      </c>
      <c r="B215" s="64" t="s">
        <v>6</v>
      </c>
      <c r="C215" s="90" t="s">
        <v>119</v>
      </c>
      <c r="D215" s="80" t="s">
        <v>66</v>
      </c>
      <c r="E215" s="89">
        <f>E211*0.05</f>
        <v>0.65</v>
      </c>
      <c r="F215" s="89"/>
      <c r="G215" s="89"/>
      <c r="H215" s="89"/>
      <c r="I215" s="89"/>
      <c r="J215" s="66"/>
      <c r="K215" s="89"/>
      <c r="L215" s="89"/>
      <c r="M215" s="89"/>
      <c r="N215" s="89"/>
      <c r="O215" s="89"/>
      <c r="P215" s="161"/>
    </row>
    <row r="216" spans="1:16">
      <c r="A216" s="117">
        <v>194</v>
      </c>
      <c r="B216" s="64" t="s">
        <v>84</v>
      </c>
      <c r="C216" s="118" t="s">
        <v>120</v>
      </c>
      <c r="D216" s="10" t="s">
        <v>9</v>
      </c>
      <c r="E216" s="111">
        <f>E205</f>
        <v>23.5</v>
      </c>
      <c r="F216" s="71"/>
      <c r="G216" s="82"/>
      <c r="H216" s="71"/>
      <c r="I216" s="70"/>
      <c r="J216" s="71"/>
      <c r="K216" s="70"/>
      <c r="L216" s="70"/>
      <c r="M216" s="70"/>
      <c r="N216" s="70"/>
      <c r="O216" s="70"/>
      <c r="P216" s="119"/>
    </row>
    <row r="217" spans="1:16">
      <c r="A217" s="147">
        <v>195</v>
      </c>
      <c r="B217" s="64" t="s">
        <v>84</v>
      </c>
      <c r="C217" s="166" t="s">
        <v>128</v>
      </c>
      <c r="D217" s="10" t="s">
        <v>9</v>
      </c>
      <c r="E217" s="111">
        <f>E205</f>
        <v>23.5</v>
      </c>
      <c r="F217" s="66"/>
      <c r="G217" s="82"/>
      <c r="H217" s="71"/>
      <c r="I217" s="66"/>
      <c r="J217" s="71"/>
      <c r="K217" s="70"/>
      <c r="L217" s="89"/>
      <c r="M217" s="89"/>
      <c r="N217" s="89"/>
      <c r="O217" s="89"/>
      <c r="P217" s="161"/>
    </row>
    <row r="218" spans="1:16">
      <c r="A218" s="147">
        <v>196</v>
      </c>
      <c r="B218" s="64" t="s">
        <v>84</v>
      </c>
      <c r="C218" s="92" t="s">
        <v>129</v>
      </c>
      <c r="D218" s="87" t="s">
        <v>9</v>
      </c>
      <c r="E218" s="77">
        <f>E210</f>
        <v>23.5</v>
      </c>
      <c r="F218" s="71"/>
      <c r="G218" s="70"/>
      <c r="H218" s="89"/>
      <c r="I218" s="70"/>
      <c r="J218" s="66"/>
      <c r="K218" s="89"/>
      <c r="L218" s="89"/>
      <c r="M218" s="89"/>
      <c r="N218" s="89"/>
      <c r="O218" s="89"/>
      <c r="P218" s="161"/>
    </row>
    <row r="219" spans="1:16" ht="15.75">
      <c r="A219" s="147">
        <v>197</v>
      </c>
      <c r="B219" s="64" t="s">
        <v>84</v>
      </c>
      <c r="C219" s="75" t="s">
        <v>131</v>
      </c>
      <c r="D219" s="80" t="s">
        <v>66</v>
      </c>
      <c r="E219" s="77">
        <f>E205*0.2</f>
        <v>4.7</v>
      </c>
      <c r="F219" s="71"/>
      <c r="G219" s="70"/>
      <c r="H219" s="89"/>
      <c r="I219" s="66"/>
      <c r="J219" s="66"/>
      <c r="K219" s="89"/>
      <c r="L219" s="89"/>
      <c r="M219" s="89"/>
      <c r="N219" s="89"/>
      <c r="O219" s="89"/>
      <c r="P219" s="161"/>
    </row>
    <row r="220" spans="1:16">
      <c r="A220" s="117">
        <v>198</v>
      </c>
      <c r="B220" s="62" t="s">
        <v>105</v>
      </c>
      <c r="C220" s="166" t="s">
        <v>130</v>
      </c>
      <c r="D220" s="87" t="s">
        <v>9</v>
      </c>
      <c r="E220" s="77">
        <f>E210</f>
        <v>23.5</v>
      </c>
      <c r="F220" s="66"/>
      <c r="G220" s="70"/>
      <c r="H220" s="89"/>
      <c r="I220" s="66"/>
      <c r="J220" s="66"/>
      <c r="K220" s="70"/>
      <c r="L220" s="70"/>
      <c r="M220" s="70"/>
      <c r="N220" s="70"/>
      <c r="O220" s="70"/>
      <c r="P220" s="119"/>
    </row>
    <row r="221" spans="1:16">
      <c r="A221" s="147">
        <v>199</v>
      </c>
      <c r="B221" s="62" t="s">
        <v>105</v>
      </c>
      <c r="C221" s="98" t="s">
        <v>189</v>
      </c>
      <c r="D221" s="10" t="s">
        <v>44</v>
      </c>
      <c r="E221" s="291">
        <v>1</v>
      </c>
      <c r="F221" s="66"/>
      <c r="G221" s="82"/>
      <c r="H221" s="89"/>
      <c r="I221" s="66"/>
      <c r="J221" s="66"/>
      <c r="K221" s="69"/>
      <c r="L221" s="82"/>
      <c r="M221" s="82"/>
      <c r="N221" s="82"/>
      <c r="O221" s="82"/>
      <c r="P221" s="148"/>
    </row>
    <row r="222" spans="1:16">
      <c r="A222" s="147"/>
      <c r="B222" s="10"/>
      <c r="C222" s="68" t="s">
        <v>160</v>
      </c>
      <c r="D222" s="10"/>
      <c r="E222" s="74"/>
      <c r="F222" s="69"/>
      <c r="G222" s="82"/>
      <c r="H222" s="69"/>
      <c r="I222" s="69"/>
      <c r="J222" s="69"/>
      <c r="K222" s="69"/>
      <c r="L222" s="69"/>
      <c r="M222" s="69"/>
      <c r="N222" s="69"/>
      <c r="O222" s="69"/>
      <c r="P222" s="163"/>
    </row>
    <row r="223" spans="1:16">
      <c r="A223" s="117">
        <v>200</v>
      </c>
      <c r="B223" s="62" t="s">
        <v>105</v>
      </c>
      <c r="C223" s="110" t="s">
        <v>112</v>
      </c>
      <c r="D223" s="10" t="s">
        <v>9</v>
      </c>
      <c r="E223" s="111">
        <f>(5*2+4*2)*3.8</f>
        <v>68.400000000000006</v>
      </c>
      <c r="F223" s="71"/>
      <c r="G223" s="82"/>
      <c r="H223" s="71"/>
      <c r="I223" s="70"/>
      <c r="J223" s="70"/>
      <c r="K223" s="70"/>
      <c r="L223" s="70"/>
      <c r="M223" s="70"/>
      <c r="N223" s="70"/>
      <c r="O223" s="70"/>
      <c r="P223" s="119"/>
    </row>
    <row r="224" spans="1:16">
      <c r="A224" s="117">
        <v>201</v>
      </c>
      <c r="B224" s="62" t="s">
        <v>105</v>
      </c>
      <c r="C224" s="118" t="s">
        <v>110</v>
      </c>
      <c r="D224" s="10" t="s">
        <v>9</v>
      </c>
      <c r="E224" s="111">
        <f>E223</f>
        <v>68.400000000000006</v>
      </c>
      <c r="F224" s="71"/>
      <c r="G224" s="82"/>
      <c r="H224" s="71"/>
      <c r="I224" s="70"/>
      <c r="J224" s="71"/>
      <c r="K224" s="70"/>
      <c r="L224" s="70"/>
      <c r="M224" s="70"/>
      <c r="N224" s="70"/>
      <c r="O224" s="70"/>
      <c r="P224" s="119"/>
    </row>
    <row r="225" spans="1:16">
      <c r="A225" s="117">
        <v>202</v>
      </c>
      <c r="B225" s="62" t="s">
        <v>105</v>
      </c>
      <c r="C225" s="118" t="s">
        <v>111</v>
      </c>
      <c r="D225" s="10" t="s">
        <v>9</v>
      </c>
      <c r="E225" s="111">
        <f>E224</f>
        <v>68.400000000000006</v>
      </c>
      <c r="F225" s="71"/>
      <c r="G225" s="82"/>
      <c r="H225" s="71"/>
      <c r="I225" s="70"/>
      <c r="J225" s="71"/>
      <c r="K225" s="70"/>
      <c r="L225" s="70"/>
      <c r="M225" s="70"/>
      <c r="N225" s="70"/>
      <c r="O225" s="70"/>
      <c r="P225" s="119"/>
    </row>
    <row r="226" spans="1:16">
      <c r="A226" s="117">
        <v>203</v>
      </c>
      <c r="B226" s="62" t="s">
        <v>105</v>
      </c>
      <c r="C226" s="118" t="s">
        <v>136</v>
      </c>
      <c r="D226" s="10" t="s">
        <v>9</v>
      </c>
      <c r="E226" s="111">
        <f>E224</f>
        <v>68.400000000000006</v>
      </c>
      <c r="F226" s="71"/>
      <c r="G226" s="82"/>
      <c r="H226" s="71"/>
      <c r="I226" s="70"/>
      <c r="J226" s="71"/>
      <c r="K226" s="70"/>
      <c r="L226" s="70"/>
      <c r="M226" s="70"/>
      <c r="N226" s="70"/>
      <c r="O226" s="70"/>
      <c r="P226" s="119"/>
    </row>
    <row r="227" spans="1:16">
      <c r="A227" s="117">
        <v>204</v>
      </c>
      <c r="B227" s="64" t="s">
        <v>8</v>
      </c>
      <c r="C227" s="110" t="s">
        <v>100</v>
      </c>
      <c r="D227" s="10" t="s">
        <v>9</v>
      </c>
      <c r="E227" s="111">
        <v>20</v>
      </c>
      <c r="F227" s="71"/>
      <c r="G227" s="71"/>
      <c r="H227" s="71"/>
      <c r="I227" s="71"/>
      <c r="J227" s="70"/>
      <c r="K227" s="71"/>
      <c r="L227" s="71"/>
      <c r="M227" s="71"/>
      <c r="N227" s="71"/>
      <c r="O227" s="71"/>
      <c r="P227" s="162"/>
    </row>
    <row r="228" spans="1:16">
      <c r="A228" s="147">
        <v>205</v>
      </c>
      <c r="B228" s="64" t="s">
        <v>8</v>
      </c>
      <c r="C228" s="86" t="s">
        <v>124</v>
      </c>
      <c r="D228" s="87" t="s">
        <v>9</v>
      </c>
      <c r="E228" s="111">
        <f>E227</f>
        <v>20</v>
      </c>
      <c r="F228" s="88"/>
      <c r="G228" s="89"/>
      <c r="H228" s="71"/>
      <c r="I228" s="88"/>
      <c r="J228" s="66"/>
      <c r="K228" s="89"/>
      <c r="L228" s="89"/>
      <c r="M228" s="89"/>
      <c r="N228" s="89"/>
      <c r="O228" s="89"/>
      <c r="P228" s="161"/>
    </row>
    <row r="229" spans="1:16">
      <c r="A229" s="147">
        <v>206</v>
      </c>
      <c r="B229" s="64" t="s">
        <v>71</v>
      </c>
      <c r="C229" s="112" t="s">
        <v>125</v>
      </c>
      <c r="D229" s="87" t="s">
        <v>9</v>
      </c>
      <c r="E229" s="89">
        <f>E227</f>
        <v>20</v>
      </c>
      <c r="F229" s="89"/>
      <c r="G229" s="89"/>
      <c r="H229" s="89"/>
      <c r="I229" s="89"/>
      <c r="J229" s="66"/>
      <c r="K229" s="89"/>
      <c r="L229" s="89"/>
      <c r="M229" s="89"/>
      <c r="N229" s="89"/>
      <c r="O229" s="89"/>
      <c r="P229" s="161"/>
    </row>
    <row r="230" spans="1:16">
      <c r="A230" s="147">
        <v>207</v>
      </c>
      <c r="B230" s="64" t="s">
        <v>71</v>
      </c>
      <c r="C230" s="112" t="s">
        <v>126</v>
      </c>
      <c r="D230" s="87" t="s">
        <v>9</v>
      </c>
      <c r="E230" s="89">
        <f>E227</f>
        <v>20</v>
      </c>
      <c r="F230" s="79"/>
      <c r="G230" s="89"/>
      <c r="H230" s="89"/>
      <c r="I230" s="89"/>
      <c r="J230" s="66"/>
      <c r="K230" s="89"/>
      <c r="L230" s="89"/>
      <c r="M230" s="89"/>
      <c r="N230" s="89"/>
      <c r="O230" s="89"/>
      <c r="P230" s="161"/>
    </row>
    <row r="231" spans="1:16">
      <c r="A231" s="147">
        <v>208</v>
      </c>
      <c r="B231" s="62" t="s">
        <v>105</v>
      </c>
      <c r="C231" s="112" t="s">
        <v>127</v>
      </c>
      <c r="D231" s="87" t="s">
        <v>9</v>
      </c>
      <c r="E231" s="89">
        <f>E227</f>
        <v>20</v>
      </c>
      <c r="F231" s="89"/>
      <c r="G231" s="89"/>
      <c r="H231" s="89"/>
      <c r="I231" s="89"/>
      <c r="J231" s="66"/>
      <c r="K231" s="89"/>
      <c r="L231" s="89"/>
      <c r="M231" s="89"/>
      <c r="N231" s="89"/>
      <c r="O231" s="89"/>
      <c r="P231" s="161"/>
    </row>
    <row r="232" spans="1:16">
      <c r="A232" s="147">
        <v>209</v>
      </c>
      <c r="B232" s="64" t="s">
        <v>8</v>
      </c>
      <c r="C232" s="86" t="s">
        <v>81</v>
      </c>
      <c r="D232" s="87" t="s">
        <v>9</v>
      </c>
      <c r="E232" s="111">
        <f>E227</f>
        <v>20</v>
      </c>
      <c r="F232" s="88"/>
      <c r="G232" s="89"/>
      <c r="H232" s="88"/>
      <c r="I232" s="88"/>
      <c r="J232" s="66"/>
      <c r="K232" s="89"/>
      <c r="L232" s="89"/>
      <c r="M232" s="89"/>
      <c r="N232" s="89"/>
      <c r="O232" s="89"/>
      <c r="P232" s="161"/>
    </row>
    <row r="233" spans="1:16" ht="15.75">
      <c r="A233" s="147">
        <v>210</v>
      </c>
      <c r="B233" s="64" t="s">
        <v>6</v>
      </c>
      <c r="C233" s="112" t="s">
        <v>80</v>
      </c>
      <c r="D233" s="80" t="s">
        <v>66</v>
      </c>
      <c r="E233" s="89">
        <f>E232*0.55</f>
        <v>11</v>
      </c>
      <c r="F233" s="89"/>
      <c r="G233" s="89"/>
      <c r="H233" s="89"/>
      <c r="I233" s="89"/>
      <c r="J233" s="66"/>
      <c r="K233" s="89"/>
      <c r="L233" s="89"/>
      <c r="M233" s="89"/>
      <c r="N233" s="89"/>
      <c r="O233" s="89"/>
      <c r="P233" s="161"/>
    </row>
    <row r="234" spans="1:16" ht="15.75">
      <c r="A234" s="147">
        <v>211</v>
      </c>
      <c r="B234" s="64" t="s">
        <v>6</v>
      </c>
      <c r="C234" s="90" t="s">
        <v>74</v>
      </c>
      <c r="D234" s="80" t="s">
        <v>66</v>
      </c>
      <c r="E234" s="89">
        <f>E233</f>
        <v>11</v>
      </c>
      <c r="F234" s="89"/>
      <c r="G234" s="89"/>
      <c r="H234" s="89"/>
      <c r="I234" s="89"/>
      <c r="J234" s="66"/>
      <c r="K234" s="89"/>
      <c r="L234" s="89"/>
      <c r="M234" s="89"/>
      <c r="N234" s="89"/>
      <c r="O234" s="89"/>
      <c r="P234" s="161"/>
    </row>
    <row r="235" spans="1:16">
      <c r="A235" s="147">
        <v>212</v>
      </c>
      <c r="B235" s="64" t="s">
        <v>6</v>
      </c>
      <c r="C235" s="90" t="s">
        <v>117</v>
      </c>
      <c r="D235" s="87" t="s">
        <v>9</v>
      </c>
      <c r="E235" s="111">
        <f>E232</f>
        <v>20</v>
      </c>
      <c r="F235" s="89"/>
      <c r="G235" s="89"/>
      <c r="H235" s="89"/>
      <c r="I235" s="89"/>
      <c r="J235" s="66"/>
      <c r="K235" s="89"/>
      <c r="L235" s="89"/>
      <c r="M235" s="89"/>
      <c r="N235" s="89"/>
      <c r="O235" s="89"/>
      <c r="P235" s="161"/>
    </row>
    <row r="236" spans="1:16" ht="15.75">
      <c r="A236" s="147">
        <v>213</v>
      </c>
      <c r="B236" s="64" t="s">
        <v>6</v>
      </c>
      <c r="C236" s="91" t="s">
        <v>118</v>
      </c>
      <c r="D236" s="80" t="s">
        <v>66</v>
      </c>
      <c r="E236" s="77">
        <f>E235*0.1</f>
        <v>2</v>
      </c>
      <c r="F236" s="89"/>
      <c r="G236" s="70"/>
      <c r="H236" s="89"/>
      <c r="I236" s="70"/>
      <c r="J236" s="66"/>
      <c r="K236" s="89"/>
      <c r="L236" s="89"/>
      <c r="M236" s="89"/>
      <c r="N236" s="89"/>
      <c r="O236" s="89"/>
      <c r="P236" s="161"/>
    </row>
    <row r="237" spans="1:16" ht="15.75">
      <c r="A237" s="147">
        <v>214</v>
      </c>
      <c r="B237" s="64" t="s">
        <v>6</v>
      </c>
      <c r="C237" s="90" t="s">
        <v>119</v>
      </c>
      <c r="D237" s="80" t="s">
        <v>66</v>
      </c>
      <c r="E237" s="89">
        <f>E233*0.05</f>
        <v>0.55000000000000004</v>
      </c>
      <c r="F237" s="89"/>
      <c r="G237" s="89"/>
      <c r="H237" s="89"/>
      <c r="I237" s="89"/>
      <c r="J237" s="66"/>
      <c r="K237" s="89"/>
      <c r="L237" s="89"/>
      <c r="M237" s="89"/>
      <c r="N237" s="89"/>
      <c r="O237" s="89"/>
      <c r="P237" s="161"/>
    </row>
    <row r="238" spans="1:16">
      <c r="A238" s="117">
        <v>215</v>
      </c>
      <c r="B238" s="64" t="s">
        <v>84</v>
      </c>
      <c r="C238" s="118" t="s">
        <v>120</v>
      </c>
      <c r="D238" s="10" t="s">
        <v>9</v>
      </c>
      <c r="E238" s="111">
        <f>E227</f>
        <v>20</v>
      </c>
      <c r="F238" s="71"/>
      <c r="G238" s="82"/>
      <c r="H238" s="71"/>
      <c r="I238" s="70"/>
      <c r="J238" s="71"/>
      <c r="K238" s="70"/>
      <c r="L238" s="70"/>
      <c r="M238" s="70"/>
      <c r="N238" s="70"/>
      <c r="O238" s="70"/>
      <c r="P238" s="119"/>
    </row>
    <row r="239" spans="1:16">
      <c r="A239" s="147">
        <v>216</v>
      </c>
      <c r="B239" s="64" t="s">
        <v>84</v>
      </c>
      <c r="C239" s="166" t="s">
        <v>128</v>
      </c>
      <c r="D239" s="10" t="s">
        <v>9</v>
      </c>
      <c r="E239" s="111">
        <f>E227</f>
        <v>20</v>
      </c>
      <c r="F239" s="66"/>
      <c r="G239" s="82"/>
      <c r="H239" s="71"/>
      <c r="I239" s="66"/>
      <c r="J239" s="71"/>
      <c r="K239" s="70"/>
      <c r="L239" s="89"/>
      <c r="M239" s="89"/>
      <c r="N239" s="89"/>
      <c r="O239" s="89"/>
      <c r="P239" s="161"/>
    </row>
    <row r="240" spans="1:16">
      <c r="A240" s="147">
        <v>217</v>
      </c>
      <c r="B240" s="64" t="s">
        <v>84</v>
      </c>
      <c r="C240" s="92" t="s">
        <v>129</v>
      </c>
      <c r="D240" s="87" t="s">
        <v>9</v>
      </c>
      <c r="E240" s="77">
        <f>E232</f>
        <v>20</v>
      </c>
      <c r="F240" s="71"/>
      <c r="G240" s="70"/>
      <c r="H240" s="89"/>
      <c r="I240" s="70"/>
      <c r="J240" s="66"/>
      <c r="K240" s="89"/>
      <c r="L240" s="89"/>
      <c r="M240" s="89"/>
      <c r="N240" s="89"/>
      <c r="O240" s="89"/>
      <c r="P240" s="161"/>
    </row>
    <row r="241" spans="1:256" ht="15.75">
      <c r="A241" s="147">
        <v>218</v>
      </c>
      <c r="B241" s="64" t="s">
        <v>84</v>
      </c>
      <c r="C241" s="75" t="s">
        <v>131</v>
      </c>
      <c r="D241" s="80" t="s">
        <v>66</v>
      </c>
      <c r="E241" s="77">
        <f>E227*0.2</f>
        <v>4</v>
      </c>
      <c r="F241" s="71"/>
      <c r="G241" s="70"/>
      <c r="H241" s="89"/>
      <c r="I241" s="66"/>
      <c r="J241" s="66"/>
      <c r="K241" s="89"/>
      <c r="L241" s="89"/>
      <c r="M241" s="89"/>
      <c r="N241" s="89"/>
      <c r="O241" s="89"/>
      <c r="P241" s="161"/>
    </row>
    <row r="242" spans="1:256">
      <c r="A242" s="117">
        <v>219</v>
      </c>
      <c r="B242" s="62" t="s">
        <v>105</v>
      </c>
      <c r="C242" s="166" t="s">
        <v>130</v>
      </c>
      <c r="D242" s="87" t="s">
        <v>9</v>
      </c>
      <c r="E242" s="77">
        <f>E232</f>
        <v>20</v>
      </c>
      <c r="F242" s="66"/>
      <c r="G242" s="70"/>
      <c r="H242" s="89"/>
      <c r="I242" s="66"/>
      <c r="J242" s="66"/>
      <c r="K242" s="70"/>
      <c r="L242" s="70"/>
      <c r="M242" s="70"/>
      <c r="N242" s="70"/>
      <c r="O242" s="70"/>
      <c r="P242" s="119"/>
    </row>
    <row r="243" spans="1:256" ht="15.75" customHeight="1">
      <c r="A243" s="164">
        <v>220</v>
      </c>
      <c r="B243" s="62" t="s">
        <v>105</v>
      </c>
      <c r="C243" s="98" t="s">
        <v>121</v>
      </c>
      <c r="D243" s="99" t="s">
        <v>44</v>
      </c>
      <c r="E243" s="113">
        <v>4</v>
      </c>
      <c r="F243" s="71"/>
      <c r="G243" s="81"/>
      <c r="H243" s="89"/>
      <c r="I243" s="71"/>
      <c r="J243" s="66"/>
      <c r="K243" s="66"/>
      <c r="L243" s="82"/>
      <c r="M243" s="82"/>
      <c r="N243" s="82"/>
      <c r="O243" s="82"/>
      <c r="P243" s="148"/>
      <c r="Q243" s="299"/>
      <c r="R243" s="130"/>
      <c r="S243" s="294"/>
      <c r="T243" s="295"/>
      <c r="U243" s="296"/>
      <c r="V243" s="133"/>
      <c r="W243" s="297"/>
      <c r="X243" s="306"/>
      <c r="Y243" s="133"/>
      <c r="Z243" s="298"/>
      <c r="AA243" s="298"/>
      <c r="AB243" s="307"/>
      <c r="AC243" s="307"/>
      <c r="AD243" s="307"/>
      <c r="AE243" s="307"/>
      <c r="AF243" s="307"/>
      <c r="AG243" s="299"/>
      <c r="AH243" s="130"/>
      <c r="AI243" s="294"/>
      <c r="AJ243" s="295"/>
      <c r="AK243" s="296"/>
      <c r="AL243" s="133"/>
      <c r="AM243" s="297"/>
      <c r="AN243" s="306"/>
      <c r="AO243" s="133"/>
      <c r="AP243" s="298"/>
      <c r="AQ243" s="298"/>
      <c r="AR243" s="307"/>
      <c r="AS243" s="307"/>
      <c r="AT243" s="307"/>
      <c r="AU243" s="307"/>
      <c r="AV243" s="307"/>
      <c r="AW243" s="299"/>
      <c r="AX243" s="130"/>
      <c r="AY243" s="294"/>
      <c r="AZ243" s="295"/>
      <c r="BA243" s="296"/>
      <c r="BB243" s="133"/>
      <c r="BC243" s="297"/>
      <c r="BD243" s="306"/>
      <c r="BE243" s="133"/>
      <c r="BF243" s="298"/>
      <c r="BG243" s="298"/>
      <c r="BH243" s="307"/>
      <c r="BI243" s="307"/>
      <c r="BJ243" s="307"/>
      <c r="BK243" s="307"/>
      <c r="BL243" s="307"/>
      <c r="BM243" s="299"/>
      <c r="BN243" s="130"/>
      <c r="BO243" s="294"/>
      <c r="BP243" s="295"/>
      <c r="BQ243" s="296"/>
      <c r="BR243" s="133"/>
      <c r="BS243" s="297"/>
      <c r="BT243" s="306"/>
      <c r="BU243" s="133"/>
      <c r="BV243" s="298"/>
      <c r="BW243" s="298"/>
      <c r="BX243" s="307"/>
      <c r="BY243" s="307"/>
      <c r="BZ243" s="307"/>
      <c r="CA243" s="307"/>
      <c r="CB243" s="307"/>
      <c r="CC243" s="299"/>
      <c r="CD243" s="130"/>
      <c r="CE243" s="294"/>
      <c r="CF243" s="295"/>
      <c r="CG243" s="296"/>
      <c r="CH243" s="133"/>
      <c r="CI243" s="297"/>
      <c r="CJ243" s="306"/>
      <c r="CK243" s="133"/>
      <c r="CL243" s="298"/>
      <c r="CM243" s="298"/>
      <c r="CN243" s="307"/>
      <c r="CO243" s="307"/>
      <c r="CP243" s="307"/>
      <c r="CQ243" s="307"/>
      <c r="CR243" s="307"/>
      <c r="CS243" s="299"/>
      <c r="CT243" s="130"/>
      <c r="CU243" s="294"/>
      <c r="CV243" s="295"/>
      <c r="CW243" s="296"/>
      <c r="CX243" s="133"/>
      <c r="CY243" s="297"/>
      <c r="CZ243" s="306"/>
      <c r="DA243" s="133"/>
      <c r="DB243" s="298"/>
      <c r="DC243" s="298"/>
      <c r="DD243" s="307"/>
      <c r="DE243" s="307"/>
      <c r="DF243" s="307"/>
      <c r="DG243" s="307"/>
      <c r="DH243" s="307"/>
      <c r="DI243" s="299"/>
      <c r="DJ243" s="130"/>
      <c r="DK243" s="294"/>
      <c r="DL243" s="295"/>
      <c r="DM243" s="296"/>
      <c r="DN243" s="133"/>
      <c r="DO243" s="297"/>
      <c r="DP243" s="306"/>
      <c r="DQ243" s="133"/>
      <c r="DR243" s="298"/>
      <c r="DS243" s="298"/>
      <c r="DT243" s="307"/>
      <c r="DU243" s="307"/>
      <c r="DV243" s="307"/>
      <c r="DW243" s="307"/>
      <c r="DX243" s="307"/>
      <c r="DY243" s="299"/>
      <c r="DZ243" s="130"/>
      <c r="EA243" s="294"/>
      <c r="EB243" s="295"/>
      <c r="EC243" s="296"/>
      <c r="ED243" s="133"/>
      <c r="EE243" s="297"/>
      <c r="EF243" s="306"/>
      <c r="EG243" s="133"/>
      <c r="EH243" s="298"/>
      <c r="EI243" s="298"/>
      <c r="EJ243" s="307"/>
      <c r="EK243" s="307"/>
      <c r="EL243" s="307"/>
      <c r="EM243" s="307"/>
      <c r="EN243" s="307"/>
      <c r="EO243" s="299"/>
      <c r="EP243" s="130"/>
      <c r="EQ243" s="294"/>
      <c r="ER243" s="295"/>
      <c r="ES243" s="296"/>
      <c r="ET243" s="133"/>
      <c r="EU243" s="297"/>
      <c r="EV243" s="306"/>
      <c r="EW243" s="133"/>
      <c r="EX243" s="298"/>
      <c r="EY243" s="298"/>
      <c r="EZ243" s="307"/>
      <c r="FA243" s="307"/>
      <c r="FB243" s="307"/>
      <c r="FC243" s="307"/>
      <c r="FD243" s="307"/>
      <c r="FE243" s="299"/>
      <c r="FF243" s="130"/>
      <c r="FG243" s="294"/>
      <c r="FH243" s="295"/>
      <c r="FI243" s="296"/>
      <c r="FJ243" s="133"/>
      <c r="FK243" s="297"/>
      <c r="FL243" s="306"/>
      <c r="FM243" s="133"/>
      <c r="FN243" s="298"/>
      <c r="FO243" s="298"/>
      <c r="FP243" s="307"/>
      <c r="FQ243" s="307"/>
      <c r="FR243" s="307"/>
      <c r="FS243" s="307"/>
      <c r="FT243" s="307"/>
      <c r="FU243" s="299"/>
      <c r="FV243" s="130"/>
      <c r="FW243" s="294"/>
      <c r="FX243" s="295"/>
      <c r="FY243" s="296"/>
      <c r="FZ243" s="133"/>
      <c r="GA243" s="297"/>
      <c r="GB243" s="306"/>
      <c r="GC243" s="133"/>
      <c r="GD243" s="298"/>
      <c r="GE243" s="298"/>
      <c r="GF243" s="307"/>
      <c r="GG243" s="307"/>
      <c r="GH243" s="307"/>
      <c r="GI243" s="307"/>
      <c r="GJ243" s="307"/>
      <c r="GK243" s="299"/>
      <c r="GL243" s="130"/>
      <c r="GM243" s="294"/>
      <c r="GN243" s="295"/>
      <c r="GO243" s="296"/>
      <c r="GP243" s="133"/>
      <c r="GQ243" s="297"/>
      <c r="GR243" s="306"/>
      <c r="GS243" s="133"/>
      <c r="GT243" s="298"/>
      <c r="GU243" s="298"/>
      <c r="GV243" s="307"/>
      <c r="GW243" s="307"/>
      <c r="GX243" s="307"/>
      <c r="GY243" s="307"/>
      <c r="GZ243" s="307"/>
      <c r="HA243" s="299"/>
      <c r="HB243" s="130"/>
      <c r="HC243" s="294"/>
      <c r="HD243" s="295"/>
      <c r="HE243" s="296"/>
      <c r="HF243" s="133"/>
      <c r="HG243" s="297"/>
      <c r="HH243" s="306"/>
      <c r="HI243" s="133"/>
      <c r="HJ243" s="298"/>
      <c r="HK243" s="298"/>
      <c r="HL243" s="307"/>
      <c r="HM243" s="307"/>
      <c r="HN243" s="307"/>
      <c r="HO243" s="307"/>
      <c r="HP243" s="307"/>
      <c r="HQ243" s="299"/>
      <c r="HR243" s="130"/>
      <c r="HS243" s="294"/>
      <c r="HT243" s="295"/>
      <c r="HU243" s="296"/>
      <c r="HV243" s="133"/>
      <c r="HW243" s="297"/>
      <c r="HX243" s="306"/>
      <c r="HY243" s="133"/>
      <c r="HZ243" s="298"/>
      <c r="IA243" s="298"/>
      <c r="IB243" s="307"/>
      <c r="IC243" s="307"/>
      <c r="ID243" s="307"/>
      <c r="IE243" s="307"/>
      <c r="IF243" s="307"/>
      <c r="IG243" s="299"/>
      <c r="IH243" s="130"/>
      <c r="II243" s="294"/>
      <c r="IJ243" s="295"/>
      <c r="IK243" s="296"/>
      <c r="IL243" s="133"/>
      <c r="IM243" s="297"/>
      <c r="IN243" s="306"/>
      <c r="IO243" s="133"/>
      <c r="IP243" s="298"/>
      <c r="IQ243" s="298"/>
      <c r="IR243" s="307"/>
      <c r="IS243" s="307"/>
      <c r="IT243" s="307"/>
      <c r="IU243" s="307"/>
      <c r="IV243" s="307"/>
    </row>
    <row r="244" spans="1:256">
      <c r="A244" s="147">
        <v>221</v>
      </c>
      <c r="B244" s="62" t="s">
        <v>105</v>
      </c>
      <c r="C244" s="98" t="s">
        <v>189</v>
      </c>
      <c r="D244" s="10" t="s">
        <v>44</v>
      </c>
      <c r="E244" s="286">
        <v>1</v>
      </c>
      <c r="F244" s="66"/>
      <c r="G244" s="82"/>
      <c r="H244" s="89"/>
      <c r="I244" s="66"/>
      <c r="J244" s="66"/>
      <c r="K244" s="69"/>
      <c r="L244" s="82"/>
      <c r="M244" s="82"/>
      <c r="N244" s="82"/>
      <c r="O244" s="82"/>
      <c r="P244" s="148"/>
    </row>
    <row r="245" spans="1:256">
      <c r="A245" s="147"/>
      <c r="B245" s="10"/>
      <c r="C245" s="68" t="s">
        <v>161</v>
      </c>
      <c r="D245" s="10"/>
      <c r="E245" s="74"/>
      <c r="F245" s="69"/>
      <c r="G245" s="82"/>
      <c r="H245" s="69"/>
      <c r="I245" s="69"/>
      <c r="J245" s="69"/>
      <c r="K245" s="69"/>
      <c r="L245" s="69"/>
      <c r="M245" s="69"/>
      <c r="N245" s="69"/>
      <c r="O245" s="69"/>
      <c r="P245" s="163"/>
    </row>
    <row r="246" spans="1:256">
      <c r="A246" s="117">
        <v>222</v>
      </c>
      <c r="B246" s="62" t="s">
        <v>105</v>
      </c>
      <c r="C246" s="110" t="s">
        <v>132</v>
      </c>
      <c r="D246" s="10" t="s">
        <v>9</v>
      </c>
      <c r="E246" s="111">
        <v>39.6</v>
      </c>
      <c r="F246" s="71"/>
      <c r="G246" s="82"/>
      <c r="H246" s="11"/>
      <c r="I246" s="70"/>
      <c r="J246" s="70"/>
      <c r="K246" s="70"/>
      <c r="L246" s="70"/>
      <c r="M246" s="70"/>
      <c r="N246" s="70"/>
      <c r="O246" s="70"/>
      <c r="P246" s="119"/>
    </row>
    <row r="247" spans="1:256">
      <c r="A247" s="117">
        <v>223</v>
      </c>
      <c r="B247" s="62" t="s">
        <v>105</v>
      </c>
      <c r="C247" s="118" t="s">
        <v>133</v>
      </c>
      <c r="D247" s="10" t="s">
        <v>9</v>
      </c>
      <c r="E247" s="111">
        <f>E246</f>
        <v>39.6</v>
      </c>
      <c r="F247" s="71"/>
      <c r="G247" s="82"/>
      <c r="H247" s="71"/>
      <c r="I247" s="70"/>
      <c r="J247" s="71"/>
      <c r="K247" s="70"/>
      <c r="L247" s="70"/>
      <c r="M247" s="70"/>
      <c r="N247" s="70"/>
      <c r="O247" s="70"/>
      <c r="P247" s="119"/>
    </row>
    <row r="248" spans="1:256">
      <c r="A248" s="117">
        <v>224</v>
      </c>
      <c r="B248" s="62" t="s">
        <v>105</v>
      </c>
      <c r="C248" s="118" t="s">
        <v>134</v>
      </c>
      <c r="D248" s="10" t="s">
        <v>9</v>
      </c>
      <c r="E248" s="111">
        <f>E246</f>
        <v>39.6</v>
      </c>
      <c r="F248" s="71"/>
      <c r="G248" s="82"/>
      <c r="H248" s="71"/>
      <c r="I248" s="70"/>
      <c r="J248" s="71"/>
      <c r="K248" s="70"/>
      <c r="L248" s="70"/>
      <c r="M248" s="70"/>
      <c r="N248" s="70"/>
      <c r="O248" s="70"/>
      <c r="P248" s="119"/>
    </row>
    <row r="249" spans="1:256">
      <c r="A249" s="117">
        <v>225</v>
      </c>
      <c r="B249" s="62" t="s">
        <v>105</v>
      </c>
      <c r="C249" s="118" t="s">
        <v>135</v>
      </c>
      <c r="D249" s="10" t="s">
        <v>9</v>
      </c>
      <c r="E249" s="111">
        <f>E246</f>
        <v>39.6</v>
      </c>
      <c r="F249" s="71"/>
      <c r="G249" s="82"/>
      <c r="H249" s="71"/>
      <c r="I249" s="70"/>
      <c r="J249" s="71"/>
      <c r="K249" s="70"/>
      <c r="L249" s="70"/>
      <c r="M249" s="70"/>
      <c r="N249" s="70"/>
      <c r="O249" s="70"/>
      <c r="P249" s="119"/>
    </row>
    <row r="250" spans="1:256">
      <c r="A250" s="117">
        <v>226</v>
      </c>
      <c r="B250" s="62" t="s">
        <v>105</v>
      </c>
      <c r="C250" s="110" t="s">
        <v>115</v>
      </c>
      <c r="D250" s="10" t="s">
        <v>9</v>
      </c>
      <c r="E250" s="111">
        <f>(5.17*2+7.66*2)*3.8</f>
        <v>97.51</v>
      </c>
      <c r="F250" s="71"/>
      <c r="G250" s="82"/>
      <c r="H250" s="71"/>
      <c r="I250" s="71"/>
      <c r="J250" s="70"/>
      <c r="K250" s="70"/>
      <c r="L250" s="70"/>
      <c r="M250" s="70"/>
      <c r="N250" s="70"/>
      <c r="O250" s="70"/>
      <c r="P250" s="119"/>
    </row>
    <row r="251" spans="1:256">
      <c r="A251" s="147">
        <v>227</v>
      </c>
      <c r="B251" s="62" t="s">
        <v>105</v>
      </c>
      <c r="C251" s="98" t="s">
        <v>189</v>
      </c>
      <c r="D251" s="10" t="s">
        <v>44</v>
      </c>
      <c r="E251" s="292">
        <v>1</v>
      </c>
      <c r="F251" s="66"/>
      <c r="G251" s="82"/>
      <c r="H251" s="89"/>
      <c r="I251" s="66"/>
      <c r="J251" s="66"/>
      <c r="K251" s="69"/>
      <c r="L251" s="82"/>
      <c r="M251" s="82"/>
      <c r="N251" s="82"/>
      <c r="O251" s="82"/>
      <c r="P251" s="148"/>
    </row>
    <row r="252" spans="1:256">
      <c r="A252" s="147"/>
      <c r="B252" s="10"/>
      <c r="C252" s="68" t="s">
        <v>162</v>
      </c>
      <c r="D252" s="10"/>
      <c r="E252" s="74"/>
      <c r="F252" s="69"/>
      <c r="G252" s="82"/>
      <c r="H252" s="69"/>
      <c r="I252" s="69"/>
      <c r="J252" s="69"/>
      <c r="K252" s="69"/>
      <c r="L252" s="69"/>
      <c r="M252" s="69"/>
      <c r="N252" s="69"/>
      <c r="O252" s="69"/>
      <c r="P252" s="163"/>
    </row>
    <row r="253" spans="1:256" ht="15.75">
      <c r="A253" s="165">
        <v>228</v>
      </c>
      <c r="B253" s="64" t="s">
        <v>138</v>
      </c>
      <c r="C253" s="51" t="s">
        <v>144</v>
      </c>
      <c r="D253" s="80" t="s">
        <v>66</v>
      </c>
      <c r="E253" s="66">
        <f>0.5*3.8*2.25</f>
        <v>4.28</v>
      </c>
      <c r="F253" s="66"/>
      <c r="G253" s="81"/>
      <c r="H253" s="66"/>
      <c r="I253" s="66"/>
      <c r="J253" s="66"/>
      <c r="K253" s="66"/>
      <c r="L253" s="89"/>
      <c r="M253" s="89"/>
      <c r="N253" s="89"/>
      <c r="O253" s="89"/>
      <c r="P253" s="161"/>
    </row>
    <row r="254" spans="1:256">
      <c r="A254" s="117">
        <v>229</v>
      </c>
      <c r="B254" s="62" t="s">
        <v>105</v>
      </c>
      <c r="C254" s="110" t="s">
        <v>115</v>
      </c>
      <c r="D254" s="10" t="s">
        <v>9</v>
      </c>
      <c r="E254" s="111">
        <f>(2.5*2)*3.8</f>
        <v>19</v>
      </c>
      <c r="F254" s="71"/>
      <c r="G254" s="82"/>
      <c r="H254" s="70"/>
      <c r="I254" s="71"/>
      <c r="J254" s="70"/>
      <c r="K254" s="70"/>
      <c r="L254" s="70"/>
      <c r="M254" s="70"/>
      <c r="N254" s="70"/>
      <c r="O254" s="70"/>
      <c r="P254" s="119"/>
    </row>
    <row r="255" spans="1:256">
      <c r="A255" s="117">
        <v>230</v>
      </c>
      <c r="B255" s="64" t="s">
        <v>8</v>
      </c>
      <c r="C255" s="110" t="s">
        <v>100</v>
      </c>
      <c r="D255" s="10" t="s">
        <v>9</v>
      </c>
      <c r="E255" s="111">
        <v>6.3</v>
      </c>
      <c r="F255" s="71"/>
      <c r="G255" s="71"/>
      <c r="H255" s="70"/>
      <c r="I255" s="71"/>
      <c r="J255" s="70"/>
      <c r="K255" s="71"/>
      <c r="L255" s="71"/>
      <c r="M255" s="71"/>
      <c r="N255" s="71"/>
      <c r="O255" s="71"/>
      <c r="P255" s="162"/>
    </row>
    <row r="256" spans="1:256">
      <c r="A256" s="147">
        <v>231</v>
      </c>
      <c r="B256" s="64" t="s">
        <v>171</v>
      </c>
      <c r="C256" s="86" t="s">
        <v>124</v>
      </c>
      <c r="D256" s="87" t="s">
        <v>9</v>
      </c>
      <c r="E256" s="111">
        <f>E255</f>
        <v>6.3</v>
      </c>
      <c r="F256" s="88"/>
      <c r="G256" s="89"/>
      <c r="H256" s="71"/>
      <c r="I256" s="88"/>
      <c r="J256" s="66"/>
      <c r="K256" s="89"/>
      <c r="L256" s="89"/>
      <c r="M256" s="89"/>
      <c r="N256" s="89"/>
      <c r="O256" s="89"/>
      <c r="P256" s="161"/>
    </row>
    <row r="257" spans="1:16">
      <c r="A257" s="147">
        <v>232</v>
      </c>
      <c r="B257" s="64" t="s">
        <v>71</v>
      </c>
      <c r="C257" s="112" t="s">
        <v>125</v>
      </c>
      <c r="D257" s="87" t="s">
        <v>9</v>
      </c>
      <c r="E257" s="89">
        <f>E255</f>
        <v>6.3</v>
      </c>
      <c r="F257" s="89"/>
      <c r="G257" s="89"/>
      <c r="H257" s="89"/>
      <c r="I257" s="89"/>
      <c r="J257" s="66"/>
      <c r="K257" s="89"/>
      <c r="L257" s="89"/>
      <c r="M257" s="89"/>
      <c r="N257" s="89"/>
      <c r="O257" s="89"/>
      <c r="P257" s="161"/>
    </row>
    <row r="258" spans="1:16">
      <c r="A258" s="147">
        <v>233</v>
      </c>
      <c r="B258" s="64" t="s">
        <v>71</v>
      </c>
      <c r="C258" s="112" t="s">
        <v>126</v>
      </c>
      <c r="D258" s="87" t="s">
        <v>9</v>
      </c>
      <c r="E258" s="89">
        <f>E255</f>
        <v>6.3</v>
      </c>
      <c r="F258" s="79"/>
      <c r="G258" s="89"/>
      <c r="H258" s="89"/>
      <c r="I258" s="89"/>
      <c r="J258" s="66"/>
      <c r="K258" s="89"/>
      <c r="L258" s="89"/>
      <c r="M258" s="89"/>
      <c r="N258" s="89"/>
      <c r="O258" s="89"/>
      <c r="P258" s="161"/>
    </row>
    <row r="259" spans="1:16">
      <c r="A259" s="147">
        <v>234</v>
      </c>
      <c r="B259" s="62" t="s">
        <v>105</v>
      </c>
      <c r="C259" s="112" t="s">
        <v>127</v>
      </c>
      <c r="D259" s="87" t="s">
        <v>9</v>
      </c>
      <c r="E259" s="89">
        <f>E255</f>
        <v>6.3</v>
      </c>
      <c r="F259" s="89"/>
      <c r="G259" s="89"/>
      <c r="H259" s="89"/>
      <c r="I259" s="89"/>
      <c r="J259" s="66"/>
      <c r="K259" s="89"/>
      <c r="L259" s="89"/>
      <c r="M259" s="89"/>
      <c r="N259" s="89"/>
      <c r="O259" s="89"/>
      <c r="P259" s="161"/>
    </row>
    <row r="260" spans="1:16">
      <c r="A260" s="147">
        <v>235</v>
      </c>
      <c r="B260" s="64" t="s">
        <v>8</v>
      </c>
      <c r="C260" s="86" t="s">
        <v>81</v>
      </c>
      <c r="D260" s="87" t="s">
        <v>9</v>
      </c>
      <c r="E260" s="111">
        <f>E255</f>
        <v>6.3</v>
      </c>
      <c r="F260" s="88"/>
      <c r="G260" s="89"/>
      <c r="H260" s="89"/>
      <c r="I260" s="88"/>
      <c r="J260" s="66"/>
      <c r="K260" s="89"/>
      <c r="L260" s="89"/>
      <c r="M260" s="89"/>
      <c r="N260" s="89"/>
      <c r="O260" s="89"/>
      <c r="P260" s="161"/>
    </row>
    <row r="261" spans="1:16" ht="15.75">
      <c r="A261" s="147">
        <v>236</v>
      </c>
      <c r="B261" s="64" t="s">
        <v>6</v>
      </c>
      <c r="C261" s="112" t="s">
        <v>80</v>
      </c>
      <c r="D261" s="80" t="s">
        <v>66</v>
      </c>
      <c r="E261" s="89">
        <f>E260*0.55</f>
        <v>3.47</v>
      </c>
      <c r="F261" s="89"/>
      <c r="G261" s="89"/>
      <c r="H261" s="89"/>
      <c r="I261" s="89"/>
      <c r="J261" s="66"/>
      <c r="K261" s="89"/>
      <c r="L261" s="89"/>
      <c r="M261" s="89"/>
      <c r="N261" s="89"/>
      <c r="O261" s="89"/>
      <c r="P261" s="161"/>
    </row>
    <row r="262" spans="1:16" ht="15.75">
      <c r="A262" s="147">
        <v>237</v>
      </c>
      <c r="B262" s="64" t="s">
        <v>6</v>
      </c>
      <c r="C262" s="90" t="s">
        <v>74</v>
      </c>
      <c r="D262" s="80" t="s">
        <v>66</v>
      </c>
      <c r="E262" s="89">
        <f>E261</f>
        <v>3.47</v>
      </c>
      <c r="F262" s="89"/>
      <c r="G262" s="89"/>
      <c r="H262" s="89"/>
      <c r="I262" s="89"/>
      <c r="J262" s="66"/>
      <c r="K262" s="89"/>
      <c r="L262" s="89"/>
      <c r="M262" s="89"/>
      <c r="N262" s="89"/>
      <c r="O262" s="89"/>
      <c r="P262" s="161"/>
    </row>
    <row r="263" spans="1:16">
      <c r="A263" s="147">
        <v>238</v>
      </c>
      <c r="B263" s="64" t="s">
        <v>6</v>
      </c>
      <c r="C263" s="90" t="s">
        <v>117</v>
      </c>
      <c r="D263" s="87" t="s">
        <v>9</v>
      </c>
      <c r="E263" s="111">
        <f>E260</f>
        <v>6.3</v>
      </c>
      <c r="F263" s="89"/>
      <c r="G263" s="89"/>
      <c r="H263" s="89"/>
      <c r="I263" s="89"/>
      <c r="J263" s="66"/>
      <c r="K263" s="89"/>
      <c r="L263" s="89"/>
      <c r="M263" s="89"/>
      <c r="N263" s="89"/>
      <c r="O263" s="89"/>
      <c r="P263" s="161"/>
    </row>
    <row r="264" spans="1:16" ht="15.75">
      <c r="A264" s="147">
        <v>239</v>
      </c>
      <c r="B264" s="64" t="s">
        <v>6</v>
      </c>
      <c r="C264" s="91" t="s">
        <v>118</v>
      </c>
      <c r="D264" s="80" t="s">
        <v>66</v>
      </c>
      <c r="E264" s="77">
        <f>E263*0.1</f>
        <v>0.63</v>
      </c>
      <c r="F264" s="89"/>
      <c r="G264" s="70"/>
      <c r="H264" s="89"/>
      <c r="I264" s="70"/>
      <c r="J264" s="66"/>
      <c r="K264" s="89"/>
      <c r="L264" s="89"/>
      <c r="M264" s="89"/>
      <c r="N264" s="89"/>
      <c r="O264" s="89"/>
      <c r="P264" s="161"/>
    </row>
    <row r="265" spans="1:16" ht="15.75">
      <c r="A265" s="147">
        <v>240</v>
      </c>
      <c r="B265" s="64" t="s">
        <v>6</v>
      </c>
      <c r="C265" s="90" t="s">
        <v>119</v>
      </c>
      <c r="D265" s="80" t="s">
        <v>66</v>
      </c>
      <c r="E265" s="89">
        <f>E261*0.05</f>
        <v>0.17</v>
      </c>
      <c r="F265" s="89"/>
      <c r="G265" s="89"/>
      <c r="H265" s="89"/>
      <c r="I265" s="89"/>
      <c r="J265" s="66"/>
      <c r="K265" s="89"/>
      <c r="L265" s="89"/>
      <c r="M265" s="89"/>
      <c r="N265" s="89"/>
      <c r="O265" s="89"/>
      <c r="P265" s="161"/>
    </row>
    <row r="266" spans="1:16">
      <c r="A266" s="117">
        <v>241</v>
      </c>
      <c r="B266" s="64" t="s">
        <v>84</v>
      </c>
      <c r="C266" s="118" t="s">
        <v>120</v>
      </c>
      <c r="D266" s="10" t="s">
        <v>9</v>
      </c>
      <c r="E266" s="111">
        <f>E255</f>
        <v>6.3</v>
      </c>
      <c r="F266" s="71"/>
      <c r="G266" s="82"/>
      <c r="H266" s="71"/>
      <c r="I266" s="70"/>
      <c r="J266" s="71"/>
      <c r="K266" s="70"/>
      <c r="L266" s="70"/>
      <c r="M266" s="70"/>
      <c r="N266" s="70"/>
      <c r="O266" s="70"/>
      <c r="P266" s="119"/>
    </row>
    <row r="267" spans="1:16">
      <c r="A267" s="147">
        <v>242</v>
      </c>
      <c r="B267" s="64" t="s">
        <v>84</v>
      </c>
      <c r="C267" s="166" t="s">
        <v>128</v>
      </c>
      <c r="D267" s="10" t="s">
        <v>9</v>
      </c>
      <c r="E267" s="111">
        <f>E255</f>
        <v>6.3</v>
      </c>
      <c r="F267" s="66"/>
      <c r="G267" s="82"/>
      <c r="H267" s="71"/>
      <c r="I267" s="66"/>
      <c r="J267" s="71"/>
      <c r="K267" s="70"/>
      <c r="L267" s="89"/>
      <c r="M267" s="89"/>
      <c r="N267" s="89"/>
      <c r="O267" s="89"/>
      <c r="P267" s="161"/>
    </row>
    <row r="268" spans="1:16">
      <c r="A268" s="147">
        <v>243</v>
      </c>
      <c r="B268" s="64" t="s">
        <v>84</v>
      </c>
      <c r="C268" s="92" t="s">
        <v>129</v>
      </c>
      <c r="D268" s="87" t="s">
        <v>9</v>
      </c>
      <c r="E268" s="77">
        <f>E260</f>
        <v>6.3</v>
      </c>
      <c r="F268" s="71"/>
      <c r="G268" s="70"/>
      <c r="H268" s="89"/>
      <c r="I268" s="70"/>
      <c r="J268" s="66"/>
      <c r="K268" s="89"/>
      <c r="L268" s="89"/>
      <c r="M268" s="89"/>
      <c r="N268" s="89"/>
      <c r="O268" s="89"/>
      <c r="P268" s="161"/>
    </row>
    <row r="269" spans="1:16" ht="15.75">
      <c r="A269" s="147">
        <v>244</v>
      </c>
      <c r="B269" s="64" t="s">
        <v>84</v>
      </c>
      <c r="C269" s="75" t="s">
        <v>131</v>
      </c>
      <c r="D269" s="80" t="s">
        <v>66</v>
      </c>
      <c r="E269" s="77">
        <f>E255*0.2</f>
        <v>1.26</v>
      </c>
      <c r="F269" s="71"/>
      <c r="G269" s="70"/>
      <c r="H269" s="89"/>
      <c r="I269" s="66"/>
      <c r="J269" s="66"/>
      <c r="K269" s="89"/>
      <c r="L269" s="89"/>
      <c r="M269" s="89"/>
      <c r="N269" s="89"/>
      <c r="O269" s="89"/>
      <c r="P269" s="161"/>
    </row>
    <row r="270" spans="1:16">
      <c r="A270" s="117">
        <v>245</v>
      </c>
      <c r="B270" s="62" t="s">
        <v>105</v>
      </c>
      <c r="C270" s="166" t="s">
        <v>130</v>
      </c>
      <c r="D270" s="87" t="s">
        <v>9</v>
      </c>
      <c r="E270" s="77">
        <f>E260</f>
        <v>6.3</v>
      </c>
      <c r="F270" s="66"/>
      <c r="G270" s="70"/>
      <c r="H270" s="89"/>
      <c r="I270" s="66"/>
      <c r="J270" s="66"/>
      <c r="K270" s="70"/>
      <c r="L270" s="70"/>
      <c r="M270" s="70"/>
      <c r="N270" s="70"/>
      <c r="O270" s="70"/>
      <c r="P270" s="119"/>
    </row>
    <row r="271" spans="1:16">
      <c r="A271" s="164">
        <v>246</v>
      </c>
      <c r="B271" s="62" t="s">
        <v>105</v>
      </c>
      <c r="C271" s="98" t="s">
        <v>121</v>
      </c>
      <c r="D271" s="99" t="s">
        <v>44</v>
      </c>
      <c r="E271" s="113">
        <v>4</v>
      </c>
      <c r="F271" s="71"/>
      <c r="G271" s="81"/>
      <c r="H271" s="89"/>
      <c r="I271" s="71"/>
      <c r="J271" s="66"/>
      <c r="K271" s="66"/>
      <c r="L271" s="82"/>
      <c r="M271" s="82"/>
      <c r="N271" s="82"/>
      <c r="O271" s="82"/>
      <c r="P271" s="148"/>
    </row>
    <row r="272" spans="1:16">
      <c r="A272" s="147">
        <v>247</v>
      </c>
      <c r="B272" s="62" t="s">
        <v>105</v>
      </c>
      <c r="C272" s="98" t="s">
        <v>189</v>
      </c>
      <c r="D272" s="10" t="s">
        <v>44</v>
      </c>
      <c r="E272" s="286">
        <v>1</v>
      </c>
      <c r="F272" s="66"/>
      <c r="G272" s="82"/>
      <c r="H272" s="89"/>
      <c r="I272" s="66"/>
      <c r="J272" s="66"/>
      <c r="K272" s="82"/>
      <c r="L272" s="82"/>
      <c r="M272" s="82"/>
      <c r="N272" s="82"/>
      <c r="O272" s="82"/>
      <c r="P272" s="148"/>
    </row>
    <row r="273" spans="1:16" ht="15" thickBot="1">
      <c r="A273" s="126"/>
      <c r="B273" s="127"/>
      <c r="C273" s="406" t="s">
        <v>97</v>
      </c>
      <c r="D273" s="406"/>
      <c r="E273" s="406"/>
      <c r="F273" s="406"/>
      <c r="G273" s="406"/>
      <c r="H273" s="406"/>
      <c r="I273" s="406"/>
      <c r="J273" s="406"/>
      <c r="K273" s="406"/>
      <c r="L273" s="153">
        <f>SUM(L11:L272)</f>
        <v>0</v>
      </c>
      <c r="M273" s="153">
        <f>SUM(M11:M272)</f>
        <v>0</v>
      </c>
      <c r="N273" s="153">
        <f>SUM(N11:N272)</f>
        <v>0</v>
      </c>
      <c r="O273" s="153">
        <f>SUM(O11:O272)</f>
        <v>0</v>
      </c>
      <c r="P273" s="154">
        <f>SUM(P11:P272)</f>
        <v>0</v>
      </c>
    </row>
    <row r="275" spans="1:16" s="7" customFormat="1" ht="12.75">
      <c r="A275" s="6"/>
      <c r="B275" s="6"/>
      <c r="C275" s="5" t="s">
        <v>21</v>
      </c>
      <c r="D275" s="391"/>
      <c r="E275" s="391"/>
      <c r="F275" s="391"/>
      <c r="G275" s="391"/>
      <c r="H275" s="391"/>
      <c r="I275" s="391"/>
      <c r="J275" s="391"/>
      <c r="K275" s="391"/>
      <c r="L275" s="391"/>
      <c r="M275" s="391"/>
      <c r="N275" s="391"/>
      <c r="O275" s="391"/>
      <c r="P275" s="4"/>
    </row>
    <row r="276" spans="1:16" s="7" customFormat="1" ht="12.75">
      <c r="A276" s="5"/>
      <c r="B276" s="5"/>
      <c r="C276" s="3"/>
      <c r="D276" s="413" t="s">
        <v>22</v>
      </c>
      <c r="E276" s="413"/>
      <c r="F276" s="413"/>
      <c r="G276" s="413"/>
      <c r="H276" s="413"/>
      <c r="I276" s="413"/>
      <c r="J276" s="413"/>
      <c r="K276" s="413"/>
      <c r="L276" s="413"/>
      <c r="M276" s="413"/>
      <c r="N276" s="413"/>
      <c r="O276" s="413"/>
      <c r="P276" s="4"/>
    </row>
    <row r="277" spans="1:16" s="7" customFormat="1" ht="12.75">
      <c r="A277" s="3"/>
      <c r="B277" s="3"/>
      <c r="C277" s="5" t="s">
        <v>23</v>
      </c>
      <c r="D277" s="354"/>
      <c r="E277" s="354"/>
      <c r="F277" s="354"/>
      <c r="G277" s="3"/>
      <c r="H277" s="3"/>
      <c r="I277" s="3"/>
      <c r="J277" s="3"/>
      <c r="K277" s="3"/>
      <c r="L277" s="3"/>
      <c r="M277" s="3"/>
      <c r="N277" s="3"/>
      <c r="O277" s="3"/>
      <c r="P277" s="4"/>
    </row>
  </sheetData>
  <mergeCells count="22">
    <mergeCell ref="A5:D5"/>
    <mergeCell ref="L1:O1"/>
    <mergeCell ref="A2:C2"/>
    <mergeCell ref="L2:O2"/>
    <mergeCell ref="A3:D3"/>
    <mergeCell ref="L3:O3"/>
    <mergeCell ref="A4:K4"/>
    <mergeCell ref="D277:F277"/>
    <mergeCell ref="O6:P6"/>
    <mergeCell ref="A7:J7"/>
    <mergeCell ref="C273:K273"/>
    <mergeCell ref="D275:O275"/>
    <mergeCell ref="L8:P8"/>
    <mergeCell ref="A6:H6"/>
    <mergeCell ref="L6:N6"/>
    <mergeCell ref="D276:O276"/>
    <mergeCell ref="A8:A9"/>
    <mergeCell ref="B8:B9"/>
    <mergeCell ref="C8:C9"/>
    <mergeCell ref="D8:D9"/>
    <mergeCell ref="E8:E9"/>
    <mergeCell ref="F8:K8"/>
  </mergeCells>
  <conditionalFormatting sqref="C36">
    <cfRule type="cellIs" dxfId="125" priority="512" operator="equal">
      <formula>0</formula>
    </cfRule>
  </conditionalFormatting>
  <conditionalFormatting sqref="C55">
    <cfRule type="cellIs" dxfId="124" priority="457" operator="equal">
      <formula>0</formula>
    </cfRule>
  </conditionalFormatting>
  <conditionalFormatting sqref="C82">
    <cfRule type="cellIs" dxfId="123" priority="416" operator="equal">
      <formula>0</formula>
    </cfRule>
  </conditionalFormatting>
  <conditionalFormatting sqref="C112">
    <cfRule type="cellIs" dxfId="122" priority="369" operator="equal">
      <formula>0</formula>
    </cfRule>
  </conditionalFormatting>
  <conditionalFormatting sqref="C139">
    <cfRule type="cellIs" dxfId="121" priority="352" operator="equal">
      <formula>0</formula>
    </cfRule>
  </conditionalFormatting>
  <conditionalFormatting sqref="C159">
    <cfRule type="cellIs" dxfId="120" priority="299" operator="equal">
      <formula>0</formula>
    </cfRule>
  </conditionalFormatting>
  <conditionalFormatting sqref="C181">
    <cfRule type="cellIs" dxfId="119" priority="252" operator="equal">
      <formula>0</formula>
    </cfRule>
  </conditionalFormatting>
  <conditionalFormatting sqref="C214">
    <cfRule type="cellIs" dxfId="118" priority="168" operator="equal">
      <formula>0</formula>
    </cfRule>
  </conditionalFormatting>
  <conditionalFormatting sqref="C236">
    <cfRule type="cellIs" dxfId="117" priority="129" operator="equal">
      <formula>0</formula>
    </cfRule>
  </conditionalFormatting>
  <conditionalFormatting sqref="C264">
    <cfRule type="cellIs" dxfId="116" priority="43" operator="equal">
      <formula>0</formula>
    </cfRule>
  </conditionalFormatting>
  <conditionalFormatting sqref="D11:D32">
    <cfRule type="cellIs" dxfId="115" priority="462" stopIfTrue="1" operator="equal">
      <formula>0</formula>
    </cfRule>
    <cfRule type="expression" dxfId="114" priority="463" stopIfTrue="1">
      <formula>#N/A</formula>
    </cfRule>
  </conditionalFormatting>
  <conditionalFormatting sqref="D35">
    <cfRule type="cellIs" dxfId="113" priority="508" stopIfTrue="1" operator="equal">
      <formula>0</formula>
    </cfRule>
    <cfRule type="expression" dxfId="112" priority="509" stopIfTrue="1">
      <formula>#N/A</formula>
    </cfRule>
  </conditionalFormatting>
  <conditionalFormatting sqref="D38:D40">
    <cfRule type="cellIs" dxfId="111" priority="486" stopIfTrue="1" operator="equal">
      <formula>0</formula>
    </cfRule>
    <cfRule type="expression" dxfId="110" priority="487" stopIfTrue="1">
      <formula>#N/A</formula>
    </cfRule>
  </conditionalFormatting>
  <conditionalFormatting sqref="D42:D51">
    <cfRule type="cellIs" dxfId="109" priority="455" stopIfTrue="1" operator="equal">
      <formula>0</formula>
    </cfRule>
    <cfRule type="expression" dxfId="108" priority="456" stopIfTrue="1">
      <formula>#N/A</formula>
    </cfRule>
  </conditionalFormatting>
  <conditionalFormatting sqref="D54">
    <cfRule type="cellIs" dxfId="107" priority="453" stopIfTrue="1" operator="equal">
      <formula>0</formula>
    </cfRule>
    <cfRule type="expression" dxfId="106" priority="454" stopIfTrue="1">
      <formula>#N/A</formula>
    </cfRule>
  </conditionalFormatting>
  <conditionalFormatting sqref="D57:D59">
    <cfRule type="cellIs" dxfId="105" priority="447" stopIfTrue="1" operator="equal">
      <formula>0</formula>
    </cfRule>
    <cfRule type="expression" dxfId="104" priority="448" stopIfTrue="1">
      <formula>#N/A</formula>
    </cfRule>
  </conditionalFormatting>
  <conditionalFormatting sqref="D61">
    <cfRule type="cellIs" dxfId="103" priority="445" stopIfTrue="1" operator="equal">
      <formula>0</formula>
    </cfRule>
    <cfRule type="expression" dxfId="102" priority="446" stopIfTrue="1">
      <formula>#N/A</formula>
    </cfRule>
  </conditionalFormatting>
  <conditionalFormatting sqref="D63:D78">
    <cfRule type="cellIs" dxfId="101" priority="320" stopIfTrue="1" operator="equal">
      <formula>0</formula>
    </cfRule>
    <cfRule type="expression" dxfId="100" priority="321" stopIfTrue="1">
      <formula>#N/A</formula>
    </cfRule>
  </conditionalFormatting>
  <conditionalFormatting sqref="D81">
    <cfRule type="cellIs" dxfId="99" priority="412" stopIfTrue="1" operator="equal">
      <formula>0</formula>
    </cfRule>
    <cfRule type="expression" dxfId="98" priority="413" stopIfTrue="1">
      <formula>#N/A</formula>
    </cfRule>
  </conditionalFormatting>
  <conditionalFormatting sqref="D84:D86">
    <cfRule type="cellIs" dxfId="97" priority="406" stopIfTrue="1" operator="equal">
      <formula>0</formula>
    </cfRule>
    <cfRule type="expression" dxfId="96" priority="407" stopIfTrue="1">
      <formula>#N/A</formula>
    </cfRule>
  </conditionalFormatting>
  <conditionalFormatting sqref="D88:D108">
    <cfRule type="cellIs" dxfId="95" priority="306" stopIfTrue="1" operator="equal">
      <formula>0</formula>
    </cfRule>
    <cfRule type="expression" dxfId="94" priority="307" stopIfTrue="1">
      <formula>#N/A</formula>
    </cfRule>
  </conditionalFormatting>
  <conditionalFormatting sqref="D111">
    <cfRule type="cellIs" dxfId="93" priority="365" stopIfTrue="1" operator="equal">
      <formula>0</formula>
    </cfRule>
    <cfRule type="expression" dxfId="92" priority="366" stopIfTrue="1">
      <formula>#N/A</formula>
    </cfRule>
  </conditionalFormatting>
  <conditionalFormatting sqref="D114:D116">
    <cfRule type="cellIs" dxfId="91" priority="359" stopIfTrue="1" operator="equal">
      <formula>0</formula>
    </cfRule>
    <cfRule type="expression" dxfId="90" priority="360" stopIfTrue="1">
      <formula>#N/A</formula>
    </cfRule>
  </conditionalFormatting>
  <conditionalFormatting sqref="D118:D126">
    <cfRule type="cellIs" dxfId="89" priority="312" stopIfTrue="1" operator="equal">
      <formula>0</formula>
    </cfRule>
    <cfRule type="expression" dxfId="88" priority="313" stopIfTrue="1">
      <formula>#N/A</formula>
    </cfRule>
  </conditionalFormatting>
  <conditionalFormatting sqref="D128:D135">
    <cfRule type="cellIs" dxfId="87" priority="324" stopIfTrue="1" operator="equal">
      <formula>0</formula>
    </cfRule>
    <cfRule type="expression" dxfId="86" priority="325" stopIfTrue="1">
      <formula>#N/A</formula>
    </cfRule>
  </conditionalFormatting>
  <conditionalFormatting sqref="D138">
    <cfRule type="cellIs" dxfId="85" priority="348" stopIfTrue="1" operator="equal">
      <formula>0</formula>
    </cfRule>
    <cfRule type="expression" dxfId="84" priority="349" stopIfTrue="1">
      <formula>#N/A</formula>
    </cfRule>
  </conditionalFormatting>
  <conditionalFormatting sqref="D141:D143">
    <cfRule type="cellIs" dxfId="83" priority="332" stopIfTrue="1" operator="equal">
      <formula>0</formula>
    </cfRule>
    <cfRule type="expression" dxfId="82" priority="333" stopIfTrue="1">
      <formula>#N/A</formula>
    </cfRule>
  </conditionalFormatting>
  <conditionalFormatting sqref="D145:D155">
    <cfRule type="cellIs" dxfId="81" priority="261" stopIfTrue="1" operator="equal">
      <formula>0</formula>
    </cfRule>
    <cfRule type="expression" dxfId="80" priority="262" stopIfTrue="1">
      <formula>#N/A</formula>
    </cfRule>
  </conditionalFormatting>
  <conditionalFormatting sqref="D158">
    <cfRule type="cellIs" dxfId="79" priority="295" stopIfTrue="1" operator="equal">
      <formula>0</formula>
    </cfRule>
    <cfRule type="expression" dxfId="78" priority="296" stopIfTrue="1">
      <formula>#N/A</formula>
    </cfRule>
  </conditionalFormatting>
  <conditionalFormatting sqref="D161:D163">
    <cfRule type="cellIs" dxfId="77" priority="279" stopIfTrue="1" operator="equal">
      <formula>0</formula>
    </cfRule>
    <cfRule type="expression" dxfId="76" priority="280" stopIfTrue="1">
      <formula>#N/A</formula>
    </cfRule>
  </conditionalFormatting>
  <conditionalFormatting sqref="D165:D169">
    <cfRule type="cellIs" dxfId="75" priority="255" stopIfTrue="1" operator="equal">
      <formula>0</formula>
    </cfRule>
    <cfRule type="expression" dxfId="74" priority="256" stopIfTrue="1">
      <formula>#N/A</formula>
    </cfRule>
  </conditionalFormatting>
  <conditionalFormatting sqref="D171:D177">
    <cfRule type="cellIs" dxfId="73" priority="234" stopIfTrue="1" operator="equal">
      <formula>0</formula>
    </cfRule>
    <cfRule type="expression" dxfId="72" priority="235" stopIfTrue="1">
      <formula>#N/A</formula>
    </cfRule>
  </conditionalFormatting>
  <conditionalFormatting sqref="D180">
    <cfRule type="cellIs" dxfId="71" priority="248" stopIfTrue="1" operator="equal">
      <formula>0</formula>
    </cfRule>
    <cfRule type="expression" dxfId="70" priority="249" stopIfTrue="1">
      <formula>#N/A</formula>
    </cfRule>
  </conditionalFormatting>
  <conditionalFormatting sqref="D183:D185">
    <cfRule type="cellIs" dxfId="69" priority="232" stopIfTrue="1" operator="equal">
      <formula>0</formula>
    </cfRule>
    <cfRule type="expression" dxfId="68" priority="233" stopIfTrue="1">
      <formula>#N/A</formula>
    </cfRule>
  </conditionalFormatting>
  <conditionalFormatting sqref="D187:D210">
    <cfRule type="cellIs" dxfId="67" priority="136" stopIfTrue="1" operator="equal">
      <formula>0</formula>
    </cfRule>
    <cfRule type="expression" dxfId="66" priority="137" stopIfTrue="1">
      <formula>#N/A</formula>
    </cfRule>
  </conditionalFormatting>
  <conditionalFormatting sqref="D213">
    <cfRule type="cellIs" dxfId="65" priority="164" stopIfTrue="1" operator="equal">
      <formula>0</formula>
    </cfRule>
    <cfRule type="expression" dxfId="64" priority="165" stopIfTrue="1">
      <formula>#N/A</formula>
    </cfRule>
  </conditionalFormatting>
  <conditionalFormatting sqref="D216:D218">
    <cfRule type="cellIs" dxfId="63" priority="148" stopIfTrue="1" operator="equal">
      <formula>0</formula>
    </cfRule>
    <cfRule type="expression" dxfId="62" priority="149" stopIfTrue="1">
      <formula>#N/A</formula>
    </cfRule>
  </conditionalFormatting>
  <conditionalFormatting sqref="D220:D232">
    <cfRule type="cellIs" dxfId="61" priority="99" stopIfTrue="1" operator="equal">
      <formula>0</formula>
    </cfRule>
    <cfRule type="expression" dxfId="60" priority="100" stopIfTrue="1">
      <formula>#N/A</formula>
    </cfRule>
  </conditionalFormatting>
  <conditionalFormatting sqref="D235">
    <cfRule type="cellIs" dxfId="59" priority="125" stopIfTrue="1" operator="equal">
      <formula>0</formula>
    </cfRule>
    <cfRule type="expression" dxfId="58" priority="126" stopIfTrue="1">
      <formula>#N/A</formula>
    </cfRule>
  </conditionalFormatting>
  <conditionalFormatting sqref="D238:D240">
    <cfRule type="cellIs" dxfId="57" priority="109" stopIfTrue="1" operator="equal">
      <formula>0</formula>
    </cfRule>
    <cfRule type="expression" dxfId="56" priority="110" stopIfTrue="1">
      <formula>#N/A</formula>
    </cfRule>
  </conditionalFormatting>
  <conditionalFormatting sqref="D242:D252">
    <cfRule type="cellIs" dxfId="55" priority="44" stopIfTrue="1" operator="equal">
      <formula>0</formula>
    </cfRule>
    <cfRule type="expression" dxfId="54" priority="45" stopIfTrue="1">
      <formula>#N/A</formula>
    </cfRule>
  </conditionalFormatting>
  <conditionalFormatting sqref="D254:D260">
    <cfRule type="cellIs" dxfId="53" priority="5" stopIfTrue="1" operator="equal">
      <formula>0</formula>
    </cfRule>
    <cfRule type="expression" dxfId="52" priority="6" stopIfTrue="1">
      <formula>#N/A</formula>
    </cfRule>
  </conditionalFormatting>
  <conditionalFormatting sqref="D263">
    <cfRule type="cellIs" dxfId="51" priority="39" stopIfTrue="1" operator="equal">
      <formula>0</formula>
    </cfRule>
    <cfRule type="expression" dxfId="50" priority="40" stopIfTrue="1">
      <formula>#N/A</formula>
    </cfRule>
  </conditionalFormatting>
  <conditionalFormatting sqref="D266:D268">
    <cfRule type="cellIs" dxfId="49" priority="23" stopIfTrue="1" operator="equal">
      <formula>0</formula>
    </cfRule>
    <cfRule type="expression" dxfId="48" priority="24" stopIfTrue="1">
      <formula>#N/A</formula>
    </cfRule>
  </conditionalFormatting>
  <conditionalFormatting sqref="D270:D273">
    <cfRule type="cellIs" dxfId="47" priority="7" stopIfTrue="1" operator="equal">
      <formula>0</formula>
    </cfRule>
    <cfRule type="expression" dxfId="46" priority="8" stopIfTrue="1">
      <formula>#N/A</formula>
    </cfRule>
  </conditionalFormatting>
  <conditionalFormatting sqref="T102 AJ102 AZ102 BP102 CF102 CV102 DL102 EB102 ER102 FH102 FX102 GN102 HD102 HT102 IJ102">
    <cfRule type="cellIs" dxfId="45" priority="316" stopIfTrue="1" operator="equal">
      <formula>0</formula>
    </cfRule>
    <cfRule type="expression" dxfId="44" priority="317" stopIfTrue="1">
      <formula>#N/A</formula>
    </cfRule>
  </conditionalFormatting>
  <conditionalFormatting sqref="T243 AJ243 AZ243 BP243 CF243 CV243 DL243 EB243 ER243 FH243 FX243 GN243 HD243 HT243 IJ243">
    <cfRule type="cellIs" dxfId="43" priority="93" stopIfTrue="1" operator="equal">
      <formula>0</formula>
    </cfRule>
    <cfRule type="expression" dxfId="42" priority="94" stopIfTrue="1">
      <formula>#N/A</formula>
    </cfRule>
  </conditionalFormatting>
  <hyperlinks>
    <hyperlink ref="L1" r:id="rId1" tooltip="Atvērt citā formātā" display="https://likumi.lv/wwwraksti/2017/103/BILDES/N_239/P5.DOCX" xr:uid="{D84C8FF5-62E1-4124-B512-4BB484936819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  <headerFooter>
    <oddFooter>&amp;C&amp;P</oddFooter>
  </headerFooter>
  <ignoredErrors>
    <ignoredError sqref="E48 E10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EF7D-7BE7-43AB-9FCD-6A894F61EFA9}">
  <dimension ref="A1:R222"/>
  <sheetViews>
    <sheetView zoomScale="130" zoomScaleNormal="130" workbookViewId="0">
      <selection activeCell="A6" sqref="A6:D6"/>
    </sheetView>
  </sheetViews>
  <sheetFormatPr defaultColWidth="9.140625" defaultRowHeight="14.25"/>
  <cols>
    <col min="1" max="1" width="6.140625" style="1" customWidth="1"/>
    <col min="2" max="2" width="8.85546875" style="1" customWidth="1"/>
    <col min="3" max="3" width="43.28515625" style="1" customWidth="1"/>
    <col min="4" max="4" width="5" style="1" customWidth="1"/>
    <col min="5" max="5" width="6.42578125" style="1" customWidth="1"/>
    <col min="6" max="6" width="6.140625" style="1" customWidth="1"/>
    <col min="7" max="7" width="8.5703125" style="1" customWidth="1"/>
    <col min="8" max="9" width="8.85546875" style="1" customWidth="1"/>
    <col min="10" max="10" width="10.140625" style="1" customWidth="1"/>
    <col min="11" max="11" width="8" style="1" customWidth="1"/>
    <col min="12" max="15" width="9.140625" style="1"/>
    <col min="16" max="16" width="9.85546875" style="1" bestFit="1" customWidth="1"/>
    <col min="17" max="16384" width="9.140625" style="1"/>
  </cols>
  <sheetData>
    <row r="1" spans="1:16" ht="15">
      <c r="A1" s="2"/>
      <c r="L1" s="402" t="s">
        <v>542</v>
      </c>
      <c r="M1" s="403"/>
      <c r="N1" s="403"/>
      <c r="O1" s="403"/>
    </row>
    <row r="2" spans="1:16" ht="15">
      <c r="A2" s="404" t="s">
        <v>55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6" ht="15">
      <c r="A3" s="404" t="s">
        <v>163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6" ht="15" customHeight="1">
      <c r="C4" s="2"/>
    </row>
    <row r="5" spans="1:16" ht="15" customHeight="1">
      <c r="A5" s="399" t="s">
        <v>537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6" ht="15" customHeight="1">
      <c r="A6" s="379" t="s">
        <v>532</v>
      </c>
      <c r="B6" s="379"/>
      <c r="C6" s="379"/>
      <c r="D6" s="398"/>
      <c r="E6" s="7"/>
      <c r="F6" s="7"/>
      <c r="G6" s="7"/>
      <c r="H6" s="7"/>
      <c r="I6" s="7"/>
      <c r="J6" s="7"/>
    </row>
    <row r="7" spans="1:16">
      <c r="A7" s="379" t="s">
        <v>535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6" ht="15.75" thickBot="1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16"/>
      <c r="M8" s="16"/>
      <c r="N8" s="16"/>
      <c r="O8" s="16"/>
      <c r="P8" s="16"/>
    </row>
    <row r="9" spans="1:16" ht="14.25" customHeight="1">
      <c r="A9" s="394" t="s">
        <v>1</v>
      </c>
      <c r="B9" s="388" t="s">
        <v>2</v>
      </c>
      <c r="C9" s="388" t="s">
        <v>3</v>
      </c>
      <c r="D9" s="396" t="s">
        <v>4</v>
      </c>
      <c r="E9" s="396" t="s">
        <v>5</v>
      </c>
      <c r="F9" s="388" t="s">
        <v>13</v>
      </c>
      <c r="G9" s="388"/>
      <c r="H9" s="388"/>
      <c r="I9" s="388"/>
      <c r="J9" s="388"/>
      <c r="K9" s="388"/>
      <c r="L9" s="388" t="s">
        <v>14</v>
      </c>
      <c r="M9" s="388"/>
      <c r="N9" s="388"/>
      <c r="O9" s="388"/>
      <c r="P9" s="389"/>
    </row>
    <row r="10" spans="1:16" ht="51">
      <c r="A10" s="395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25" t="s">
        <v>51</v>
      </c>
    </row>
    <row r="11" spans="1:16" s="172" customFormat="1" ht="15.75" thickBot="1">
      <c r="A11" s="126">
        <v>1</v>
      </c>
      <c r="B11" s="127">
        <v>2</v>
      </c>
      <c r="C11" s="127">
        <v>3</v>
      </c>
      <c r="D11" s="127">
        <v>4</v>
      </c>
      <c r="E11" s="127">
        <v>5</v>
      </c>
      <c r="F11" s="185">
        <v>6</v>
      </c>
      <c r="G11" s="185">
        <v>7</v>
      </c>
      <c r="H11" s="185">
        <v>8</v>
      </c>
      <c r="I11" s="185">
        <v>9</v>
      </c>
      <c r="J11" s="185">
        <v>10</v>
      </c>
      <c r="K11" s="185">
        <v>11</v>
      </c>
      <c r="L11" s="185">
        <v>12</v>
      </c>
      <c r="M11" s="185">
        <v>13</v>
      </c>
      <c r="N11" s="185">
        <v>14</v>
      </c>
      <c r="O11" s="185">
        <v>15</v>
      </c>
      <c r="P11" s="186">
        <v>16</v>
      </c>
    </row>
    <row r="12" spans="1:16" ht="15.75">
      <c r="A12" s="138">
        <v>1</v>
      </c>
      <c r="B12" s="190" t="s">
        <v>71</v>
      </c>
      <c r="C12" s="191" t="s">
        <v>174</v>
      </c>
      <c r="D12" s="192" t="s">
        <v>66</v>
      </c>
      <c r="E12" s="193">
        <v>4.05</v>
      </c>
      <c r="F12" s="145"/>
      <c r="G12" s="194"/>
      <c r="H12" s="145"/>
      <c r="I12" s="143"/>
      <c r="J12" s="145"/>
      <c r="K12" s="143"/>
      <c r="L12" s="143"/>
      <c r="M12" s="143"/>
      <c r="N12" s="143"/>
      <c r="O12" s="143"/>
      <c r="P12" s="155"/>
    </row>
    <row r="13" spans="1:16">
      <c r="A13" s="147">
        <v>2</v>
      </c>
      <c r="B13" s="64" t="s">
        <v>71</v>
      </c>
      <c r="C13" s="51" t="s">
        <v>175</v>
      </c>
      <c r="D13" s="10" t="s">
        <v>9</v>
      </c>
      <c r="E13" s="71">
        <v>133.21</v>
      </c>
      <c r="F13" s="71"/>
      <c r="G13" s="70"/>
      <c r="H13" s="81"/>
      <c r="I13" s="71"/>
      <c r="J13" s="66"/>
      <c r="K13" s="82"/>
      <c r="L13" s="82"/>
      <c r="M13" s="82"/>
      <c r="N13" s="82"/>
      <c r="O13" s="82"/>
      <c r="P13" s="148"/>
    </row>
    <row r="14" spans="1:16">
      <c r="A14" s="147">
        <v>3</v>
      </c>
      <c r="B14" s="64" t="s">
        <v>171</v>
      </c>
      <c r="C14" s="51" t="s">
        <v>176</v>
      </c>
      <c r="D14" s="10" t="s">
        <v>9</v>
      </c>
      <c r="E14" s="71">
        <v>133.21</v>
      </c>
      <c r="F14" s="82"/>
      <c r="G14" s="70"/>
      <c r="H14" s="82"/>
      <c r="I14" s="82"/>
      <c r="J14" s="175"/>
      <c r="K14" s="82"/>
      <c r="L14" s="82"/>
      <c r="M14" s="82"/>
      <c r="N14" s="82"/>
      <c r="O14" s="82"/>
      <c r="P14" s="148"/>
    </row>
    <row r="15" spans="1:16">
      <c r="A15" s="195">
        <v>4</v>
      </c>
      <c r="B15" s="64" t="s">
        <v>71</v>
      </c>
      <c r="C15" s="75" t="s">
        <v>177</v>
      </c>
      <c r="D15" s="87" t="s">
        <v>9</v>
      </c>
      <c r="E15" s="176">
        <v>166.72</v>
      </c>
      <c r="F15" s="71"/>
      <c r="G15" s="70"/>
      <c r="H15" s="70"/>
      <c r="I15" s="71"/>
      <c r="J15" s="66"/>
      <c r="K15" s="82"/>
      <c r="L15" s="82"/>
      <c r="M15" s="82"/>
      <c r="N15" s="82"/>
      <c r="O15" s="82"/>
      <c r="P15" s="148"/>
    </row>
    <row r="16" spans="1:16">
      <c r="A16" s="147"/>
      <c r="B16" s="10"/>
      <c r="C16" s="68" t="s">
        <v>109</v>
      </c>
      <c r="D16" s="10"/>
      <c r="E16" s="74"/>
      <c r="F16" s="69"/>
      <c r="G16" s="82"/>
      <c r="H16" s="69"/>
      <c r="I16" s="69"/>
      <c r="J16" s="69"/>
      <c r="K16" s="69"/>
      <c r="L16" s="69"/>
      <c r="M16" s="69"/>
      <c r="N16" s="69"/>
      <c r="O16" s="69"/>
      <c r="P16" s="163"/>
    </row>
    <row r="17" spans="1:18" ht="14.25" customHeight="1">
      <c r="A17" s="147">
        <v>6</v>
      </c>
      <c r="B17" s="64" t="s">
        <v>71</v>
      </c>
      <c r="C17" s="83" t="s">
        <v>183</v>
      </c>
      <c r="D17" s="10" t="s">
        <v>9</v>
      </c>
      <c r="E17" s="177">
        <v>42.3</v>
      </c>
      <c r="F17" s="65"/>
      <c r="G17" s="65"/>
      <c r="H17" s="89"/>
      <c r="I17" s="66"/>
      <c r="J17" s="66"/>
      <c r="K17" s="89"/>
      <c r="L17" s="89"/>
      <c r="M17" s="89"/>
      <c r="N17" s="89"/>
      <c r="O17" s="89"/>
      <c r="P17" s="148"/>
    </row>
    <row r="18" spans="1:18">
      <c r="A18" s="147">
        <v>7</v>
      </c>
      <c r="B18" s="64" t="s">
        <v>171</v>
      </c>
      <c r="C18" s="51" t="s">
        <v>180</v>
      </c>
      <c r="D18" s="10" t="s">
        <v>9</v>
      </c>
      <c r="E18" s="71">
        <f>E17</f>
        <v>42.3</v>
      </c>
      <c r="F18" s="82"/>
      <c r="G18" s="65"/>
      <c r="H18" s="82"/>
      <c r="I18" s="82"/>
      <c r="J18" s="82"/>
      <c r="K18" s="82"/>
      <c r="L18" s="82"/>
      <c r="M18" s="82"/>
      <c r="N18" s="82"/>
      <c r="O18" s="82"/>
      <c r="P18" s="148"/>
    </row>
    <row r="19" spans="1:18">
      <c r="A19" s="147">
        <v>8</v>
      </c>
      <c r="B19" s="64" t="s">
        <v>171</v>
      </c>
      <c r="C19" s="98" t="s">
        <v>181</v>
      </c>
      <c r="D19" s="87" t="s">
        <v>9</v>
      </c>
      <c r="E19" s="177">
        <f>E17</f>
        <v>42.3</v>
      </c>
      <c r="F19" s="89"/>
      <c r="G19" s="89"/>
      <c r="H19" s="89"/>
      <c r="I19" s="89"/>
      <c r="J19" s="66"/>
      <c r="K19" s="89"/>
      <c r="L19" s="89"/>
      <c r="M19" s="89"/>
      <c r="N19" s="89"/>
      <c r="O19" s="89"/>
      <c r="P19" s="148"/>
    </row>
    <row r="20" spans="1:18">
      <c r="A20" s="147">
        <v>9</v>
      </c>
      <c r="B20" s="64" t="s">
        <v>171</v>
      </c>
      <c r="C20" s="86" t="s">
        <v>124</v>
      </c>
      <c r="D20" s="87" t="s">
        <v>9</v>
      </c>
      <c r="E20" s="111">
        <f>E17</f>
        <v>42.3</v>
      </c>
      <c r="F20" s="88"/>
      <c r="G20" s="89"/>
      <c r="H20" s="71"/>
      <c r="I20" s="88"/>
      <c r="J20" s="66"/>
      <c r="K20" s="89"/>
      <c r="L20" s="89"/>
      <c r="M20" s="89"/>
      <c r="N20" s="89"/>
      <c r="O20" s="89"/>
      <c r="P20" s="148"/>
    </row>
    <row r="21" spans="1:18">
      <c r="A21" s="147">
        <v>10</v>
      </c>
      <c r="B21" s="64" t="s">
        <v>171</v>
      </c>
      <c r="C21" s="98" t="s">
        <v>178</v>
      </c>
      <c r="D21" s="87" t="s">
        <v>9</v>
      </c>
      <c r="E21" s="177">
        <f>E17</f>
        <v>42.3</v>
      </c>
      <c r="F21" s="89"/>
      <c r="G21" s="89"/>
      <c r="H21" s="89"/>
      <c r="I21" s="89"/>
      <c r="J21" s="66"/>
      <c r="K21" s="89"/>
      <c r="L21" s="89"/>
      <c r="M21" s="89"/>
      <c r="N21" s="89"/>
      <c r="O21" s="89"/>
      <c r="P21" s="148"/>
    </row>
    <row r="22" spans="1:18" ht="15">
      <c r="A22" s="147">
        <v>11</v>
      </c>
      <c r="B22" s="64" t="s">
        <v>71</v>
      </c>
      <c r="C22" s="83" t="s">
        <v>179</v>
      </c>
      <c r="D22" s="10" t="s">
        <v>9</v>
      </c>
      <c r="E22" s="177">
        <f>E17</f>
        <v>42.3</v>
      </c>
      <c r="F22" s="65"/>
      <c r="G22" s="65"/>
      <c r="H22" s="89"/>
      <c r="I22" s="66"/>
      <c r="J22" s="66"/>
      <c r="K22" s="89"/>
      <c r="L22" s="89"/>
      <c r="M22" s="89"/>
      <c r="N22" s="89"/>
      <c r="O22" s="89"/>
      <c r="P22" s="148"/>
      <c r="R22" s="57"/>
    </row>
    <row r="23" spans="1:18" s="7" customFormat="1" ht="12.75">
      <c r="A23" s="147">
        <v>12</v>
      </c>
      <c r="B23" s="64" t="s">
        <v>171</v>
      </c>
      <c r="C23" s="51" t="s">
        <v>180</v>
      </c>
      <c r="D23" s="10" t="s">
        <v>9</v>
      </c>
      <c r="E23" s="71">
        <f>E17</f>
        <v>42.3</v>
      </c>
      <c r="F23" s="82"/>
      <c r="G23" s="65"/>
      <c r="H23" s="82"/>
      <c r="I23" s="82"/>
      <c r="J23" s="82"/>
      <c r="K23" s="82"/>
      <c r="L23" s="82"/>
      <c r="M23" s="82"/>
      <c r="N23" s="82"/>
      <c r="O23" s="82"/>
      <c r="P23" s="148"/>
    </row>
    <row r="24" spans="1:18" s="7" customFormat="1" ht="12.75">
      <c r="A24" s="147">
        <v>13</v>
      </c>
      <c r="B24" s="64" t="s">
        <v>71</v>
      </c>
      <c r="C24" s="51" t="s">
        <v>175</v>
      </c>
      <c r="D24" s="10" t="s">
        <v>9</v>
      </c>
      <c r="E24" s="71">
        <f>E17</f>
        <v>42.3</v>
      </c>
      <c r="F24" s="71"/>
      <c r="G24" s="70"/>
      <c r="H24" s="81"/>
      <c r="I24" s="71"/>
      <c r="J24" s="66"/>
      <c r="K24" s="82"/>
      <c r="L24" s="82"/>
      <c r="M24" s="82"/>
      <c r="N24" s="82"/>
      <c r="O24" s="82"/>
      <c r="P24" s="148"/>
    </row>
    <row r="25" spans="1:18" s="7" customFormat="1" ht="12.75">
      <c r="A25" s="117">
        <v>14</v>
      </c>
      <c r="B25" s="62" t="s">
        <v>105</v>
      </c>
      <c r="C25" s="118" t="s">
        <v>133</v>
      </c>
      <c r="D25" s="10" t="s">
        <v>9</v>
      </c>
      <c r="E25" s="111">
        <f>E24</f>
        <v>42.3</v>
      </c>
      <c r="F25" s="71"/>
      <c r="G25" s="82"/>
      <c r="H25" s="71"/>
      <c r="I25" s="70"/>
      <c r="J25" s="71"/>
      <c r="K25" s="70"/>
      <c r="L25" s="70"/>
      <c r="M25" s="70"/>
      <c r="N25" s="70"/>
      <c r="O25" s="70"/>
      <c r="P25" s="119"/>
    </row>
    <row r="26" spans="1:18">
      <c r="A26" s="117">
        <v>15</v>
      </c>
      <c r="B26" s="62" t="s">
        <v>105</v>
      </c>
      <c r="C26" s="118" t="s">
        <v>134</v>
      </c>
      <c r="D26" s="10" t="s">
        <v>9</v>
      </c>
      <c r="E26" s="111">
        <f>E24</f>
        <v>42.3</v>
      </c>
      <c r="F26" s="71"/>
      <c r="G26" s="82"/>
      <c r="H26" s="71"/>
      <c r="I26" s="70"/>
      <c r="J26" s="71"/>
      <c r="K26" s="70"/>
      <c r="L26" s="70"/>
      <c r="M26" s="70"/>
      <c r="N26" s="70"/>
      <c r="O26" s="70"/>
      <c r="P26" s="119"/>
    </row>
    <row r="27" spans="1:18">
      <c r="A27" s="117">
        <v>16</v>
      </c>
      <c r="B27" s="62" t="s">
        <v>105</v>
      </c>
      <c r="C27" s="118" t="s">
        <v>135</v>
      </c>
      <c r="D27" s="10" t="s">
        <v>9</v>
      </c>
      <c r="E27" s="111">
        <f>E24</f>
        <v>42.3</v>
      </c>
      <c r="F27" s="71"/>
      <c r="G27" s="82"/>
      <c r="H27" s="71"/>
      <c r="I27" s="70"/>
      <c r="J27" s="71"/>
      <c r="K27" s="70"/>
      <c r="L27" s="70"/>
      <c r="M27" s="70"/>
      <c r="N27" s="70"/>
      <c r="O27" s="70"/>
      <c r="P27" s="119"/>
    </row>
    <row r="28" spans="1:18">
      <c r="A28" s="147">
        <v>9</v>
      </c>
      <c r="B28" s="64" t="s">
        <v>171</v>
      </c>
      <c r="C28" s="86" t="s">
        <v>186</v>
      </c>
      <c r="D28" s="87" t="s">
        <v>9</v>
      </c>
      <c r="E28" s="111">
        <f>(11.45*2+37*2)*2.67</f>
        <v>258.72000000000003</v>
      </c>
      <c r="F28" s="88"/>
      <c r="G28" s="89"/>
      <c r="H28" s="71"/>
      <c r="I28" s="88"/>
      <c r="J28" s="66"/>
      <c r="K28" s="89"/>
      <c r="L28" s="89"/>
      <c r="M28" s="89"/>
      <c r="N28" s="89"/>
      <c r="O28" s="89"/>
      <c r="P28" s="148"/>
    </row>
    <row r="29" spans="1:18">
      <c r="A29" s="147">
        <v>2</v>
      </c>
      <c r="B29" s="64" t="s">
        <v>71</v>
      </c>
      <c r="C29" s="51" t="s">
        <v>187</v>
      </c>
      <c r="D29" s="10" t="s">
        <v>9</v>
      </c>
      <c r="E29" s="71">
        <f>E28</f>
        <v>258.72000000000003</v>
      </c>
      <c r="F29" s="71"/>
      <c r="G29" s="70"/>
      <c r="H29" s="81"/>
      <c r="I29" s="71"/>
      <c r="J29" s="66"/>
      <c r="K29" s="82"/>
      <c r="L29" s="82"/>
      <c r="M29" s="82"/>
      <c r="N29" s="82"/>
      <c r="O29" s="82"/>
      <c r="P29" s="148"/>
    </row>
    <row r="30" spans="1:18">
      <c r="A30" s="117">
        <v>51</v>
      </c>
      <c r="B30" s="62" t="s">
        <v>105</v>
      </c>
      <c r="C30" s="118" t="s">
        <v>110</v>
      </c>
      <c r="D30" s="10" t="s">
        <v>9</v>
      </c>
      <c r="E30" s="111">
        <f>E29</f>
        <v>258.72000000000003</v>
      </c>
      <c r="F30" s="71"/>
      <c r="G30" s="82"/>
      <c r="H30" s="71"/>
      <c r="I30" s="70"/>
      <c r="J30" s="71"/>
      <c r="K30" s="70"/>
      <c r="L30" s="70"/>
      <c r="M30" s="70"/>
      <c r="N30" s="70"/>
      <c r="O30" s="70"/>
      <c r="P30" s="119"/>
    </row>
    <row r="31" spans="1:18">
      <c r="A31" s="117">
        <v>52</v>
      </c>
      <c r="B31" s="62" t="s">
        <v>105</v>
      </c>
      <c r="C31" s="118" t="s">
        <v>111</v>
      </c>
      <c r="D31" s="10" t="s">
        <v>9</v>
      </c>
      <c r="E31" s="111">
        <f>E29</f>
        <v>258.72000000000003</v>
      </c>
      <c r="F31" s="71"/>
      <c r="G31" s="82"/>
      <c r="H31" s="71"/>
      <c r="I31" s="70"/>
      <c r="J31" s="71"/>
      <c r="K31" s="70"/>
      <c r="L31" s="70"/>
      <c r="M31" s="70"/>
      <c r="N31" s="70"/>
      <c r="O31" s="70"/>
      <c r="P31" s="119"/>
    </row>
    <row r="32" spans="1:18">
      <c r="A32" s="117">
        <v>53</v>
      </c>
      <c r="B32" s="62" t="s">
        <v>105</v>
      </c>
      <c r="C32" s="118" t="s">
        <v>136</v>
      </c>
      <c r="D32" s="10" t="s">
        <v>9</v>
      </c>
      <c r="E32" s="111">
        <f>E29</f>
        <v>258.72000000000003</v>
      </c>
      <c r="F32" s="71"/>
      <c r="G32" s="82"/>
      <c r="H32" s="71"/>
      <c r="I32" s="70"/>
      <c r="J32" s="71"/>
      <c r="K32" s="70"/>
      <c r="L32" s="70"/>
      <c r="M32" s="70"/>
      <c r="N32" s="70"/>
      <c r="O32" s="70"/>
      <c r="P32" s="119"/>
    </row>
    <row r="33" spans="1:16">
      <c r="A33" s="147">
        <v>214</v>
      </c>
      <c r="B33" s="64" t="s">
        <v>67</v>
      </c>
      <c r="C33" s="51" t="s">
        <v>188</v>
      </c>
      <c r="D33" s="10" t="s">
        <v>9</v>
      </c>
      <c r="E33" s="111">
        <v>30.05</v>
      </c>
      <c r="F33" s="70"/>
      <c r="G33" s="70"/>
      <c r="H33" s="66"/>
      <c r="I33" s="66"/>
      <c r="J33" s="66"/>
      <c r="K33" s="71"/>
      <c r="L33" s="71"/>
      <c r="M33" s="71"/>
      <c r="N33" s="71"/>
      <c r="O33" s="71"/>
      <c r="P33" s="162"/>
    </row>
    <row r="34" spans="1:16">
      <c r="A34" s="147">
        <v>213</v>
      </c>
      <c r="B34" s="64" t="s">
        <v>67</v>
      </c>
      <c r="C34" s="51" t="s">
        <v>182</v>
      </c>
      <c r="D34" s="10" t="s">
        <v>9</v>
      </c>
      <c r="E34" s="111">
        <f>E33</f>
        <v>30.05</v>
      </c>
      <c r="F34" s="70"/>
      <c r="G34" s="70"/>
      <c r="H34" s="66"/>
      <c r="I34" s="66"/>
      <c r="J34" s="66"/>
      <c r="K34" s="71"/>
      <c r="L34" s="71"/>
      <c r="M34" s="71"/>
      <c r="N34" s="71"/>
      <c r="O34" s="71"/>
      <c r="P34" s="162"/>
    </row>
    <row r="35" spans="1:16">
      <c r="A35" s="147">
        <v>214</v>
      </c>
      <c r="B35" s="64" t="s">
        <v>67</v>
      </c>
      <c r="C35" s="51" t="s">
        <v>184</v>
      </c>
      <c r="D35" s="10" t="s">
        <v>9</v>
      </c>
      <c r="E35" s="111">
        <f>E33</f>
        <v>30.05</v>
      </c>
      <c r="F35" s="70"/>
      <c r="G35" s="70"/>
      <c r="H35" s="66"/>
      <c r="I35" s="66"/>
      <c r="J35" s="66"/>
      <c r="K35" s="71"/>
      <c r="L35" s="71"/>
      <c r="M35" s="71"/>
      <c r="N35" s="71"/>
      <c r="O35" s="71"/>
      <c r="P35" s="162"/>
    </row>
    <row r="36" spans="1:16">
      <c r="A36" s="147">
        <v>213</v>
      </c>
      <c r="B36" s="64" t="s">
        <v>67</v>
      </c>
      <c r="C36" s="51" t="s">
        <v>185</v>
      </c>
      <c r="D36" s="10" t="s">
        <v>9</v>
      </c>
      <c r="E36" s="111">
        <f>E33</f>
        <v>30.05</v>
      </c>
      <c r="F36" s="70"/>
      <c r="G36" s="70"/>
      <c r="H36" s="66"/>
      <c r="I36" s="66"/>
      <c r="J36" s="66"/>
      <c r="K36" s="71"/>
      <c r="L36" s="71"/>
      <c r="M36" s="71"/>
      <c r="N36" s="71"/>
      <c r="O36" s="71"/>
      <c r="P36" s="162"/>
    </row>
    <row r="37" spans="1:16">
      <c r="A37" s="147">
        <v>58</v>
      </c>
      <c r="B37" s="62" t="s">
        <v>105</v>
      </c>
      <c r="C37" s="98" t="s">
        <v>189</v>
      </c>
      <c r="D37" s="10" t="s">
        <v>44</v>
      </c>
      <c r="E37" s="291">
        <v>2</v>
      </c>
      <c r="F37" s="66"/>
      <c r="G37" s="82"/>
      <c r="H37" s="71"/>
      <c r="I37" s="66"/>
      <c r="J37" s="66"/>
      <c r="K37" s="82"/>
      <c r="L37" s="82"/>
      <c r="M37" s="82"/>
      <c r="N37" s="82"/>
      <c r="O37" s="82"/>
      <c r="P37" s="148"/>
    </row>
    <row r="38" spans="1:16">
      <c r="A38" s="147"/>
      <c r="B38" s="10"/>
      <c r="C38" s="68" t="s">
        <v>113</v>
      </c>
      <c r="D38" s="10"/>
      <c r="E38" s="74"/>
      <c r="F38" s="69"/>
      <c r="G38" s="82"/>
      <c r="H38" s="69"/>
      <c r="I38" s="69"/>
      <c r="J38" s="69"/>
      <c r="K38" s="69"/>
      <c r="L38" s="69"/>
      <c r="M38" s="69"/>
      <c r="N38" s="69"/>
      <c r="O38" s="69"/>
      <c r="P38" s="163"/>
    </row>
    <row r="39" spans="1:16" ht="14.25" customHeight="1">
      <c r="A39" s="147">
        <v>6</v>
      </c>
      <c r="B39" s="64" t="s">
        <v>71</v>
      </c>
      <c r="C39" s="83" t="s">
        <v>183</v>
      </c>
      <c r="D39" s="10" t="s">
        <v>9</v>
      </c>
      <c r="E39" s="177">
        <f>4.76*10.45</f>
        <v>49.74</v>
      </c>
      <c r="F39" s="65"/>
      <c r="G39" s="65"/>
      <c r="H39" s="89"/>
      <c r="I39" s="66"/>
      <c r="J39" s="66"/>
      <c r="K39" s="89"/>
      <c r="L39" s="89"/>
      <c r="M39" s="89"/>
      <c r="N39" s="89"/>
      <c r="O39" s="89"/>
      <c r="P39" s="148"/>
    </row>
    <row r="40" spans="1:16">
      <c r="A40" s="147">
        <v>7</v>
      </c>
      <c r="B40" s="64" t="s">
        <v>171</v>
      </c>
      <c r="C40" s="51" t="s">
        <v>180</v>
      </c>
      <c r="D40" s="10" t="s">
        <v>9</v>
      </c>
      <c r="E40" s="71">
        <f>E39</f>
        <v>49.74</v>
      </c>
      <c r="F40" s="82"/>
      <c r="G40" s="65"/>
      <c r="H40" s="82"/>
      <c r="I40" s="82"/>
      <c r="J40" s="82"/>
      <c r="K40" s="82"/>
      <c r="L40" s="82"/>
      <c r="M40" s="82"/>
      <c r="N40" s="82"/>
      <c r="O40" s="82"/>
      <c r="P40" s="148"/>
    </row>
    <row r="41" spans="1:16">
      <c r="A41" s="147">
        <v>8</v>
      </c>
      <c r="B41" s="64" t="s">
        <v>171</v>
      </c>
      <c r="C41" s="98" t="s">
        <v>181</v>
      </c>
      <c r="D41" s="87" t="s">
        <v>9</v>
      </c>
      <c r="E41" s="177">
        <f>E39</f>
        <v>49.74</v>
      </c>
      <c r="F41" s="89"/>
      <c r="G41" s="89"/>
      <c r="H41" s="89"/>
      <c r="I41" s="89"/>
      <c r="J41" s="66"/>
      <c r="K41" s="89"/>
      <c r="L41" s="89"/>
      <c r="M41" s="89"/>
      <c r="N41" s="89"/>
      <c r="O41" s="89"/>
      <c r="P41" s="148"/>
    </row>
    <row r="42" spans="1:16">
      <c r="A42" s="147">
        <v>9</v>
      </c>
      <c r="B42" s="64" t="s">
        <v>171</v>
      </c>
      <c r="C42" s="86" t="s">
        <v>124</v>
      </c>
      <c r="D42" s="87" t="s">
        <v>9</v>
      </c>
      <c r="E42" s="111">
        <f>E39</f>
        <v>49.74</v>
      </c>
      <c r="F42" s="88"/>
      <c r="G42" s="89"/>
      <c r="H42" s="71"/>
      <c r="I42" s="88"/>
      <c r="J42" s="66"/>
      <c r="K42" s="89"/>
      <c r="L42" s="89"/>
      <c r="M42" s="89"/>
      <c r="N42" s="89"/>
      <c r="O42" s="89"/>
      <c r="P42" s="148"/>
    </row>
    <row r="43" spans="1:16">
      <c r="A43" s="147">
        <v>10</v>
      </c>
      <c r="B43" s="64" t="s">
        <v>171</v>
      </c>
      <c r="C43" s="98" t="s">
        <v>178</v>
      </c>
      <c r="D43" s="87" t="s">
        <v>9</v>
      </c>
      <c r="E43" s="177">
        <f>E39</f>
        <v>49.74</v>
      </c>
      <c r="F43" s="89"/>
      <c r="G43" s="89"/>
      <c r="H43" s="89"/>
      <c r="I43" s="89"/>
      <c r="J43" s="66"/>
      <c r="K43" s="89"/>
      <c r="L43" s="89"/>
      <c r="M43" s="89"/>
      <c r="N43" s="89"/>
      <c r="O43" s="89"/>
      <c r="P43" s="148"/>
    </row>
    <row r="44" spans="1:16">
      <c r="A44" s="147">
        <v>11</v>
      </c>
      <c r="B44" s="64" t="s">
        <v>71</v>
      </c>
      <c r="C44" s="83" t="s">
        <v>179</v>
      </c>
      <c r="D44" s="10" t="s">
        <v>9</v>
      </c>
      <c r="E44" s="177">
        <f>E39</f>
        <v>49.74</v>
      </c>
      <c r="F44" s="65"/>
      <c r="G44" s="65"/>
      <c r="H44" s="89"/>
      <c r="I44" s="66"/>
      <c r="J44" s="66"/>
      <c r="K44" s="89"/>
      <c r="L44" s="89"/>
      <c r="M44" s="89"/>
      <c r="N44" s="89"/>
      <c r="O44" s="89"/>
      <c r="P44" s="148"/>
    </row>
    <row r="45" spans="1:16">
      <c r="A45" s="147">
        <v>12</v>
      </c>
      <c r="B45" s="64" t="s">
        <v>171</v>
      </c>
      <c r="C45" s="51" t="s">
        <v>180</v>
      </c>
      <c r="D45" s="10" t="s">
        <v>9</v>
      </c>
      <c r="E45" s="71">
        <f>E39</f>
        <v>49.74</v>
      </c>
      <c r="F45" s="82"/>
      <c r="G45" s="65"/>
      <c r="H45" s="82"/>
      <c r="I45" s="82"/>
      <c r="J45" s="82"/>
      <c r="K45" s="82"/>
      <c r="L45" s="82"/>
      <c r="M45" s="82"/>
      <c r="N45" s="82"/>
      <c r="O45" s="82"/>
      <c r="P45" s="148"/>
    </row>
    <row r="46" spans="1:16">
      <c r="A46" s="147">
        <v>13</v>
      </c>
      <c r="B46" s="64" t="s">
        <v>71</v>
      </c>
      <c r="C46" s="51" t="s">
        <v>175</v>
      </c>
      <c r="D46" s="10" t="s">
        <v>9</v>
      </c>
      <c r="E46" s="71">
        <f>E39</f>
        <v>49.74</v>
      </c>
      <c r="F46" s="71"/>
      <c r="G46" s="70"/>
      <c r="H46" s="81"/>
      <c r="I46" s="71"/>
      <c r="J46" s="66"/>
      <c r="K46" s="82"/>
      <c r="L46" s="82"/>
      <c r="M46" s="82"/>
      <c r="N46" s="82"/>
      <c r="O46" s="82"/>
      <c r="P46" s="148"/>
    </row>
    <row r="47" spans="1:16">
      <c r="A47" s="117">
        <v>14</v>
      </c>
      <c r="B47" s="62" t="s">
        <v>105</v>
      </c>
      <c r="C47" s="118" t="s">
        <v>133</v>
      </c>
      <c r="D47" s="10" t="s">
        <v>9</v>
      </c>
      <c r="E47" s="111">
        <f>E46</f>
        <v>49.74</v>
      </c>
      <c r="F47" s="71"/>
      <c r="G47" s="82"/>
      <c r="H47" s="71"/>
      <c r="I47" s="70"/>
      <c r="J47" s="71"/>
      <c r="K47" s="70"/>
      <c r="L47" s="70"/>
      <c r="M47" s="70"/>
      <c r="N47" s="70"/>
      <c r="O47" s="70"/>
      <c r="P47" s="119"/>
    </row>
    <row r="48" spans="1:16">
      <c r="A48" s="117">
        <v>15</v>
      </c>
      <c r="B48" s="62" t="s">
        <v>105</v>
      </c>
      <c r="C48" s="118" t="s">
        <v>134</v>
      </c>
      <c r="D48" s="10" t="s">
        <v>9</v>
      </c>
      <c r="E48" s="111">
        <f>E46</f>
        <v>49.74</v>
      </c>
      <c r="F48" s="71"/>
      <c r="G48" s="82"/>
      <c r="H48" s="71"/>
      <c r="I48" s="70"/>
      <c r="J48" s="71"/>
      <c r="K48" s="70"/>
      <c r="L48" s="70"/>
      <c r="M48" s="70"/>
      <c r="N48" s="70"/>
      <c r="O48" s="70"/>
      <c r="P48" s="119"/>
    </row>
    <row r="49" spans="1:16">
      <c r="A49" s="117">
        <v>16</v>
      </c>
      <c r="B49" s="62" t="s">
        <v>105</v>
      </c>
      <c r="C49" s="118" t="s">
        <v>135</v>
      </c>
      <c r="D49" s="10" t="s">
        <v>9</v>
      </c>
      <c r="E49" s="111">
        <f>E46</f>
        <v>49.74</v>
      </c>
      <c r="F49" s="71"/>
      <c r="G49" s="82"/>
      <c r="H49" s="71"/>
      <c r="I49" s="70"/>
      <c r="J49" s="71"/>
      <c r="K49" s="70"/>
      <c r="L49" s="70"/>
      <c r="M49" s="70"/>
      <c r="N49" s="70"/>
      <c r="O49" s="70"/>
      <c r="P49" s="119"/>
    </row>
    <row r="50" spans="1:16">
      <c r="A50" s="117">
        <v>51</v>
      </c>
      <c r="B50" s="62" t="s">
        <v>105</v>
      </c>
      <c r="C50" s="118" t="s">
        <v>110</v>
      </c>
      <c r="D50" s="10" t="s">
        <v>9</v>
      </c>
      <c r="E50" s="111">
        <f>2.67*3.94+2.67*10.75</f>
        <v>39.22</v>
      </c>
      <c r="F50" s="71"/>
      <c r="G50" s="82"/>
      <c r="H50" s="71"/>
      <c r="I50" s="70"/>
      <c r="J50" s="71"/>
      <c r="K50" s="70"/>
      <c r="L50" s="70"/>
      <c r="M50" s="70"/>
      <c r="N50" s="70"/>
      <c r="O50" s="70"/>
      <c r="P50" s="119"/>
    </row>
    <row r="51" spans="1:16">
      <c r="A51" s="117">
        <v>52</v>
      </c>
      <c r="B51" s="62" t="s">
        <v>105</v>
      </c>
      <c r="C51" s="118" t="s">
        <v>111</v>
      </c>
      <c r="D51" s="10" t="s">
        <v>9</v>
      </c>
      <c r="E51" s="111">
        <f>E50</f>
        <v>39.22</v>
      </c>
      <c r="F51" s="71"/>
      <c r="G51" s="82"/>
      <c r="H51" s="71"/>
      <c r="I51" s="70"/>
      <c r="J51" s="71"/>
      <c r="K51" s="70"/>
      <c r="L51" s="70"/>
      <c r="M51" s="70"/>
      <c r="N51" s="70"/>
      <c r="O51" s="70"/>
      <c r="P51" s="119"/>
    </row>
    <row r="52" spans="1:16">
      <c r="A52" s="117">
        <v>53</v>
      </c>
      <c r="B52" s="62" t="s">
        <v>105</v>
      </c>
      <c r="C52" s="118" t="s">
        <v>136</v>
      </c>
      <c r="D52" s="10" t="s">
        <v>9</v>
      </c>
      <c r="E52" s="111">
        <f>E50</f>
        <v>39.22</v>
      </c>
      <c r="F52" s="71"/>
      <c r="G52" s="82"/>
      <c r="H52" s="71"/>
      <c r="I52" s="70"/>
      <c r="J52" s="71"/>
      <c r="K52" s="70"/>
      <c r="L52" s="70"/>
      <c r="M52" s="70"/>
      <c r="N52" s="70"/>
      <c r="O52" s="70"/>
      <c r="P52" s="119"/>
    </row>
    <row r="53" spans="1:16">
      <c r="A53" s="147">
        <v>214</v>
      </c>
      <c r="B53" s="64" t="s">
        <v>67</v>
      </c>
      <c r="C53" s="51" t="s">
        <v>188</v>
      </c>
      <c r="D53" s="10" t="s">
        <v>9</v>
      </c>
      <c r="E53" s="111">
        <f>E39</f>
        <v>49.74</v>
      </c>
      <c r="F53" s="70"/>
      <c r="G53" s="70"/>
      <c r="H53" s="66"/>
      <c r="I53" s="66"/>
      <c r="J53" s="66"/>
      <c r="K53" s="71"/>
      <c r="L53" s="71"/>
      <c r="M53" s="71"/>
      <c r="N53" s="71"/>
      <c r="O53" s="71"/>
      <c r="P53" s="162"/>
    </row>
    <row r="54" spans="1:16">
      <c r="A54" s="147">
        <v>213</v>
      </c>
      <c r="B54" s="64" t="s">
        <v>67</v>
      </c>
      <c r="C54" s="51" t="s">
        <v>182</v>
      </c>
      <c r="D54" s="10" t="s">
        <v>9</v>
      </c>
      <c r="E54" s="111">
        <f>E53</f>
        <v>49.74</v>
      </c>
      <c r="F54" s="70"/>
      <c r="G54" s="70"/>
      <c r="H54" s="66"/>
      <c r="I54" s="66"/>
      <c r="J54" s="66"/>
      <c r="K54" s="71"/>
      <c r="L54" s="71"/>
      <c r="M54" s="71"/>
      <c r="N54" s="71"/>
      <c r="O54" s="71"/>
      <c r="P54" s="162"/>
    </row>
    <row r="55" spans="1:16">
      <c r="A55" s="147">
        <v>214</v>
      </c>
      <c r="B55" s="64" t="s">
        <v>67</v>
      </c>
      <c r="C55" s="51" t="s">
        <v>184</v>
      </c>
      <c r="D55" s="10" t="s">
        <v>9</v>
      </c>
      <c r="E55" s="111">
        <f>E53</f>
        <v>49.74</v>
      </c>
      <c r="F55" s="70"/>
      <c r="G55" s="70"/>
      <c r="H55" s="66"/>
      <c r="I55" s="66"/>
      <c r="J55" s="66"/>
      <c r="K55" s="71"/>
      <c r="L55" s="71"/>
      <c r="M55" s="71"/>
      <c r="N55" s="71"/>
      <c r="O55" s="71"/>
      <c r="P55" s="162"/>
    </row>
    <row r="56" spans="1:16">
      <c r="A56" s="147">
        <v>213</v>
      </c>
      <c r="B56" s="64" t="s">
        <v>67</v>
      </c>
      <c r="C56" s="51" t="s">
        <v>185</v>
      </c>
      <c r="D56" s="10" t="s">
        <v>9</v>
      </c>
      <c r="E56" s="111">
        <f>E53</f>
        <v>49.74</v>
      </c>
      <c r="F56" s="70"/>
      <c r="G56" s="70"/>
      <c r="H56" s="66"/>
      <c r="I56" s="66"/>
      <c r="J56" s="66"/>
      <c r="K56" s="71"/>
      <c r="L56" s="71"/>
      <c r="M56" s="71"/>
      <c r="N56" s="71"/>
      <c r="O56" s="71"/>
      <c r="P56" s="162"/>
    </row>
    <row r="57" spans="1:16">
      <c r="A57" s="147">
        <v>58</v>
      </c>
      <c r="B57" s="62" t="s">
        <v>105</v>
      </c>
      <c r="C57" s="98" t="s">
        <v>189</v>
      </c>
      <c r="D57" s="10" t="s">
        <v>44</v>
      </c>
      <c r="E57" s="291">
        <v>2</v>
      </c>
      <c r="F57" s="66"/>
      <c r="G57" s="82"/>
      <c r="H57" s="71"/>
      <c r="I57" s="66"/>
      <c r="J57" s="66"/>
      <c r="K57" s="82"/>
      <c r="L57" s="82"/>
      <c r="M57" s="82"/>
      <c r="N57" s="82"/>
      <c r="O57" s="82"/>
      <c r="P57" s="148"/>
    </row>
    <row r="58" spans="1:16">
      <c r="A58" s="147"/>
      <c r="B58" s="10"/>
      <c r="C58" s="68" t="s">
        <v>114</v>
      </c>
      <c r="D58" s="10"/>
      <c r="E58" s="74"/>
      <c r="F58" s="69"/>
      <c r="G58" s="82"/>
      <c r="H58" s="69"/>
      <c r="I58" s="69"/>
      <c r="J58" s="69"/>
      <c r="K58" s="69"/>
      <c r="L58" s="69"/>
      <c r="M58" s="69"/>
      <c r="N58" s="69"/>
      <c r="O58" s="69"/>
      <c r="P58" s="163"/>
    </row>
    <row r="59" spans="1:16" ht="14.25" customHeight="1">
      <c r="A59" s="147">
        <v>6</v>
      </c>
      <c r="B59" s="64" t="s">
        <v>71</v>
      </c>
      <c r="C59" s="83" t="s">
        <v>183</v>
      </c>
      <c r="D59" s="10" t="s">
        <v>9</v>
      </c>
      <c r="E59" s="177">
        <v>15.1</v>
      </c>
      <c r="F59" s="65"/>
      <c r="G59" s="65"/>
      <c r="H59" s="89"/>
      <c r="I59" s="66"/>
      <c r="J59" s="66"/>
      <c r="K59" s="89"/>
      <c r="L59" s="89"/>
      <c r="M59" s="89"/>
      <c r="N59" s="89"/>
      <c r="O59" s="89"/>
      <c r="P59" s="148"/>
    </row>
    <row r="60" spans="1:16">
      <c r="A60" s="147">
        <v>7</v>
      </c>
      <c r="B60" s="64" t="s">
        <v>171</v>
      </c>
      <c r="C60" s="51" t="s">
        <v>180</v>
      </c>
      <c r="D60" s="10" t="s">
        <v>9</v>
      </c>
      <c r="E60" s="71">
        <f>E59</f>
        <v>15.1</v>
      </c>
      <c r="F60" s="82"/>
      <c r="G60" s="65"/>
      <c r="H60" s="82"/>
      <c r="I60" s="82"/>
      <c r="J60" s="82"/>
      <c r="K60" s="82"/>
      <c r="L60" s="82"/>
      <c r="M60" s="82"/>
      <c r="N60" s="82"/>
      <c r="O60" s="82"/>
      <c r="P60" s="148"/>
    </row>
    <row r="61" spans="1:16">
      <c r="A61" s="147">
        <v>8</v>
      </c>
      <c r="B61" s="64" t="s">
        <v>171</v>
      </c>
      <c r="C61" s="98" t="s">
        <v>181</v>
      </c>
      <c r="D61" s="87" t="s">
        <v>9</v>
      </c>
      <c r="E61" s="177">
        <f>E59</f>
        <v>15.1</v>
      </c>
      <c r="F61" s="89"/>
      <c r="G61" s="89"/>
      <c r="H61" s="89"/>
      <c r="I61" s="89"/>
      <c r="J61" s="66"/>
      <c r="K61" s="89"/>
      <c r="L61" s="89"/>
      <c r="M61" s="89"/>
      <c r="N61" s="89"/>
      <c r="O61" s="89"/>
      <c r="P61" s="148"/>
    </row>
    <row r="62" spans="1:16">
      <c r="A62" s="147">
        <v>9</v>
      </c>
      <c r="B62" s="64" t="s">
        <v>171</v>
      </c>
      <c r="C62" s="86" t="s">
        <v>124</v>
      </c>
      <c r="D62" s="87" t="s">
        <v>9</v>
      </c>
      <c r="E62" s="111">
        <f>E59</f>
        <v>15.1</v>
      </c>
      <c r="F62" s="88"/>
      <c r="G62" s="89"/>
      <c r="H62" s="71"/>
      <c r="I62" s="88"/>
      <c r="J62" s="66"/>
      <c r="K62" s="89"/>
      <c r="L62" s="89"/>
      <c r="M62" s="89"/>
      <c r="N62" s="89"/>
      <c r="O62" s="89"/>
      <c r="P62" s="148"/>
    </row>
    <row r="63" spans="1:16">
      <c r="A63" s="147">
        <v>10</v>
      </c>
      <c r="B63" s="64" t="s">
        <v>171</v>
      </c>
      <c r="C63" s="98" t="s">
        <v>178</v>
      </c>
      <c r="D63" s="87" t="s">
        <v>9</v>
      </c>
      <c r="E63" s="177">
        <f>E59</f>
        <v>15.1</v>
      </c>
      <c r="F63" s="89"/>
      <c r="G63" s="89"/>
      <c r="H63" s="89"/>
      <c r="I63" s="89"/>
      <c r="J63" s="66"/>
      <c r="K63" s="89"/>
      <c r="L63" s="89"/>
      <c r="M63" s="89"/>
      <c r="N63" s="89"/>
      <c r="O63" s="89"/>
      <c r="P63" s="148"/>
    </row>
    <row r="64" spans="1:16">
      <c r="A64" s="147">
        <v>11</v>
      </c>
      <c r="B64" s="64" t="s">
        <v>71</v>
      </c>
      <c r="C64" s="83" t="s">
        <v>179</v>
      </c>
      <c r="D64" s="10" t="s">
        <v>9</v>
      </c>
      <c r="E64" s="177">
        <f>E59</f>
        <v>15.1</v>
      </c>
      <c r="F64" s="65"/>
      <c r="G64" s="65"/>
      <c r="H64" s="89"/>
      <c r="I64" s="66"/>
      <c r="J64" s="66"/>
      <c r="K64" s="89"/>
      <c r="L64" s="89"/>
      <c r="M64" s="89"/>
      <c r="N64" s="89"/>
      <c r="O64" s="89"/>
      <c r="P64" s="148"/>
    </row>
    <row r="65" spans="1:16">
      <c r="A65" s="147">
        <v>12</v>
      </c>
      <c r="B65" s="64" t="s">
        <v>171</v>
      </c>
      <c r="C65" s="51" t="s">
        <v>180</v>
      </c>
      <c r="D65" s="10" t="s">
        <v>9</v>
      </c>
      <c r="E65" s="71">
        <f>E59</f>
        <v>15.1</v>
      </c>
      <c r="F65" s="82"/>
      <c r="G65" s="65"/>
      <c r="H65" s="82"/>
      <c r="I65" s="82"/>
      <c r="J65" s="82"/>
      <c r="K65" s="82"/>
      <c r="L65" s="82"/>
      <c r="M65" s="82"/>
      <c r="N65" s="82"/>
      <c r="O65" s="82"/>
      <c r="P65" s="148"/>
    </row>
    <row r="66" spans="1:16">
      <c r="A66" s="147">
        <v>13</v>
      </c>
      <c r="B66" s="64" t="s">
        <v>71</v>
      </c>
      <c r="C66" s="51" t="s">
        <v>175</v>
      </c>
      <c r="D66" s="10" t="s">
        <v>9</v>
      </c>
      <c r="E66" s="71">
        <f>E59</f>
        <v>15.1</v>
      </c>
      <c r="F66" s="71"/>
      <c r="G66" s="70"/>
      <c r="H66" s="81"/>
      <c r="I66" s="71"/>
      <c r="J66" s="66"/>
      <c r="K66" s="82"/>
      <c r="L66" s="82"/>
      <c r="M66" s="82"/>
      <c r="N66" s="82"/>
      <c r="O66" s="82"/>
      <c r="P66" s="148"/>
    </row>
    <row r="67" spans="1:16">
      <c r="A67" s="117">
        <v>14</v>
      </c>
      <c r="B67" s="62" t="s">
        <v>105</v>
      </c>
      <c r="C67" s="118" t="s">
        <v>133</v>
      </c>
      <c r="D67" s="10" t="s">
        <v>9</v>
      </c>
      <c r="E67" s="111">
        <f>E66</f>
        <v>15.1</v>
      </c>
      <c r="F67" s="71"/>
      <c r="G67" s="82"/>
      <c r="H67" s="71"/>
      <c r="I67" s="70"/>
      <c r="J67" s="71"/>
      <c r="K67" s="70"/>
      <c r="L67" s="70"/>
      <c r="M67" s="70"/>
      <c r="N67" s="70"/>
      <c r="O67" s="70"/>
      <c r="P67" s="119"/>
    </row>
    <row r="68" spans="1:16">
      <c r="A68" s="117">
        <v>15</v>
      </c>
      <c r="B68" s="62" t="s">
        <v>105</v>
      </c>
      <c r="C68" s="118" t="s">
        <v>134</v>
      </c>
      <c r="D68" s="10" t="s">
        <v>9</v>
      </c>
      <c r="E68" s="111">
        <f>E66</f>
        <v>15.1</v>
      </c>
      <c r="F68" s="71"/>
      <c r="G68" s="82"/>
      <c r="H68" s="71"/>
      <c r="I68" s="70"/>
      <c r="J68" s="71"/>
      <c r="K68" s="70"/>
      <c r="L68" s="70"/>
      <c r="M68" s="70"/>
      <c r="N68" s="70"/>
      <c r="O68" s="70"/>
      <c r="P68" s="119"/>
    </row>
    <row r="69" spans="1:16">
      <c r="A69" s="117">
        <v>16</v>
      </c>
      <c r="B69" s="62" t="s">
        <v>105</v>
      </c>
      <c r="C69" s="118" t="s">
        <v>135</v>
      </c>
      <c r="D69" s="10" t="s">
        <v>9</v>
      </c>
      <c r="E69" s="111">
        <f>E66</f>
        <v>15.1</v>
      </c>
      <c r="F69" s="71"/>
      <c r="G69" s="82"/>
      <c r="H69" s="71"/>
      <c r="I69" s="70"/>
      <c r="J69" s="71"/>
      <c r="K69" s="70"/>
      <c r="L69" s="70"/>
      <c r="M69" s="70"/>
      <c r="N69" s="70"/>
      <c r="O69" s="70"/>
      <c r="P69" s="119"/>
    </row>
    <row r="70" spans="1:16">
      <c r="A70" s="117">
        <v>51</v>
      </c>
      <c r="B70" s="62" t="s">
        <v>105</v>
      </c>
      <c r="C70" s="118" t="s">
        <v>110</v>
      </c>
      <c r="D70" s="10" t="s">
        <v>9</v>
      </c>
      <c r="E70" s="111">
        <f>2.67*21.28-6.6</f>
        <v>50.22</v>
      </c>
      <c r="F70" s="71"/>
      <c r="G70" s="82"/>
      <c r="H70" s="71"/>
      <c r="I70" s="70"/>
      <c r="J70" s="71"/>
      <c r="K70" s="70"/>
      <c r="L70" s="70"/>
      <c r="M70" s="70"/>
      <c r="N70" s="70"/>
      <c r="O70" s="70"/>
      <c r="P70" s="119"/>
    </row>
    <row r="71" spans="1:16">
      <c r="A71" s="117">
        <v>52</v>
      </c>
      <c r="B71" s="62" t="s">
        <v>105</v>
      </c>
      <c r="C71" s="118" t="s">
        <v>111</v>
      </c>
      <c r="D71" s="10" t="s">
        <v>9</v>
      </c>
      <c r="E71" s="111">
        <f>E70</f>
        <v>50.22</v>
      </c>
      <c r="F71" s="71"/>
      <c r="G71" s="82"/>
      <c r="H71" s="71"/>
      <c r="I71" s="70"/>
      <c r="J71" s="71"/>
      <c r="K71" s="70"/>
      <c r="L71" s="70"/>
      <c r="M71" s="70"/>
      <c r="N71" s="70"/>
      <c r="O71" s="70"/>
      <c r="P71" s="119"/>
    </row>
    <row r="72" spans="1:16">
      <c r="A72" s="117">
        <v>53</v>
      </c>
      <c r="B72" s="62" t="s">
        <v>105</v>
      </c>
      <c r="C72" s="118" t="s">
        <v>136</v>
      </c>
      <c r="D72" s="10" t="s">
        <v>9</v>
      </c>
      <c r="E72" s="111">
        <f>E70</f>
        <v>50.22</v>
      </c>
      <c r="F72" s="71"/>
      <c r="G72" s="82"/>
      <c r="H72" s="71"/>
      <c r="I72" s="70"/>
      <c r="J72" s="71"/>
      <c r="K72" s="70"/>
      <c r="L72" s="70"/>
      <c r="M72" s="70"/>
      <c r="N72" s="70"/>
      <c r="O72" s="70"/>
      <c r="P72" s="119"/>
    </row>
    <row r="73" spans="1:16">
      <c r="A73" s="147">
        <v>214</v>
      </c>
      <c r="B73" s="64" t="s">
        <v>67</v>
      </c>
      <c r="C73" s="51" t="s">
        <v>188</v>
      </c>
      <c r="D73" s="10" t="s">
        <v>9</v>
      </c>
      <c r="E73" s="111">
        <f>E59</f>
        <v>15.1</v>
      </c>
      <c r="F73" s="70"/>
      <c r="G73" s="70"/>
      <c r="H73" s="66"/>
      <c r="I73" s="66"/>
      <c r="J73" s="66"/>
      <c r="K73" s="71"/>
      <c r="L73" s="71"/>
      <c r="M73" s="71"/>
      <c r="N73" s="71"/>
      <c r="O73" s="71"/>
      <c r="P73" s="162"/>
    </row>
    <row r="74" spans="1:16">
      <c r="A74" s="147">
        <v>213</v>
      </c>
      <c r="B74" s="64" t="s">
        <v>67</v>
      </c>
      <c r="C74" s="51" t="s">
        <v>182</v>
      </c>
      <c r="D74" s="10" t="s">
        <v>9</v>
      </c>
      <c r="E74" s="111">
        <f>E73</f>
        <v>15.1</v>
      </c>
      <c r="F74" s="70"/>
      <c r="G74" s="70"/>
      <c r="H74" s="66"/>
      <c r="I74" s="66"/>
      <c r="J74" s="66"/>
      <c r="K74" s="71"/>
      <c r="L74" s="71"/>
      <c r="M74" s="71"/>
      <c r="N74" s="71"/>
      <c r="O74" s="71"/>
      <c r="P74" s="162"/>
    </row>
    <row r="75" spans="1:16">
      <c r="A75" s="147">
        <v>214</v>
      </c>
      <c r="B75" s="64" t="s">
        <v>67</v>
      </c>
      <c r="C75" s="51" t="s">
        <v>190</v>
      </c>
      <c r="D75" s="10" t="s">
        <v>9</v>
      </c>
      <c r="E75" s="111">
        <f>E73</f>
        <v>15.1</v>
      </c>
      <c r="F75" s="70"/>
      <c r="G75" s="70"/>
      <c r="H75" s="66"/>
      <c r="I75" s="66"/>
      <c r="J75" s="66"/>
      <c r="K75" s="71"/>
      <c r="L75" s="71"/>
      <c r="M75" s="71"/>
      <c r="N75" s="71"/>
      <c r="O75" s="71"/>
      <c r="P75" s="162"/>
    </row>
    <row r="76" spans="1:16">
      <c r="A76" s="147">
        <v>213</v>
      </c>
      <c r="B76" s="64" t="s">
        <v>67</v>
      </c>
      <c r="C76" s="51" t="s">
        <v>191</v>
      </c>
      <c r="D76" s="10" t="s">
        <v>9</v>
      </c>
      <c r="E76" s="111">
        <f>E73</f>
        <v>15.1</v>
      </c>
      <c r="F76" s="70"/>
      <c r="G76" s="70"/>
      <c r="H76" s="66"/>
      <c r="I76" s="66"/>
      <c r="J76" s="66"/>
      <c r="K76" s="71"/>
      <c r="L76" s="71"/>
      <c r="M76" s="71"/>
      <c r="N76" s="71"/>
      <c r="O76" s="71"/>
      <c r="P76" s="162"/>
    </row>
    <row r="77" spans="1:16">
      <c r="A77" s="147">
        <v>58</v>
      </c>
      <c r="B77" s="62" t="s">
        <v>105</v>
      </c>
      <c r="C77" s="98" t="s">
        <v>189</v>
      </c>
      <c r="D77" s="10" t="s">
        <v>44</v>
      </c>
      <c r="E77" s="291">
        <v>2</v>
      </c>
      <c r="F77" s="66"/>
      <c r="G77" s="82"/>
      <c r="H77" s="71"/>
      <c r="I77" s="66"/>
      <c r="J77" s="66"/>
      <c r="K77" s="82"/>
      <c r="L77" s="82"/>
      <c r="M77" s="82"/>
      <c r="N77" s="82"/>
      <c r="O77" s="82"/>
      <c r="P77" s="148"/>
    </row>
    <row r="78" spans="1:16">
      <c r="A78" s="147"/>
      <c r="B78" s="10"/>
      <c r="C78" s="68" t="s">
        <v>149</v>
      </c>
      <c r="D78" s="10"/>
      <c r="E78" s="74"/>
      <c r="F78" s="69"/>
      <c r="G78" s="82"/>
      <c r="H78" s="69"/>
      <c r="I78" s="69"/>
      <c r="J78" s="69"/>
      <c r="K78" s="69"/>
      <c r="L78" s="69"/>
      <c r="M78" s="69"/>
      <c r="N78" s="69"/>
      <c r="O78" s="69"/>
      <c r="P78" s="163"/>
    </row>
    <row r="79" spans="1:16" ht="13.5" customHeight="1">
      <c r="A79" s="147">
        <v>6</v>
      </c>
      <c r="B79" s="64" t="s">
        <v>71</v>
      </c>
      <c r="C79" s="83" t="s">
        <v>183</v>
      </c>
      <c r="D79" s="10" t="s">
        <v>9</v>
      </c>
      <c r="E79" s="177">
        <v>15.1</v>
      </c>
      <c r="F79" s="65"/>
      <c r="G79" s="65"/>
      <c r="H79" s="89"/>
      <c r="I79" s="66"/>
      <c r="J79" s="66"/>
      <c r="K79" s="89"/>
      <c r="L79" s="89"/>
      <c r="M79" s="89"/>
      <c r="N79" s="89"/>
      <c r="O79" s="89"/>
      <c r="P79" s="148"/>
    </row>
    <row r="80" spans="1:16">
      <c r="A80" s="147">
        <v>7</v>
      </c>
      <c r="B80" s="64" t="s">
        <v>171</v>
      </c>
      <c r="C80" s="51" t="s">
        <v>180</v>
      </c>
      <c r="D80" s="10" t="s">
        <v>9</v>
      </c>
      <c r="E80" s="71">
        <f>E79</f>
        <v>15.1</v>
      </c>
      <c r="F80" s="82"/>
      <c r="G80" s="65"/>
      <c r="H80" s="82"/>
      <c r="I80" s="82"/>
      <c r="J80" s="82"/>
      <c r="K80" s="82"/>
      <c r="L80" s="82"/>
      <c r="M80" s="82"/>
      <c r="N80" s="82"/>
      <c r="O80" s="82"/>
      <c r="P80" s="148"/>
    </row>
    <row r="81" spans="1:16">
      <c r="A81" s="147">
        <v>8</v>
      </c>
      <c r="B81" s="64" t="s">
        <v>171</v>
      </c>
      <c r="C81" s="98" t="s">
        <v>181</v>
      </c>
      <c r="D81" s="87" t="s">
        <v>9</v>
      </c>
      <c r="E81" s="177">
        <f>E79</f>
        <v>15.1</v>
      </c>
      <c r="F81" s="89"/>
      <c r="G81" s="89"/>
      <c r="H81" s="89"/>
      <c r="I81" s="89"/>
      <c r="J81" s="66"/>
      <c r="K81" s="89"/>
      <c r="L81" s="89"/>
      <c r="M81" s="89"/>
      <c r="N81" s="89"/>
      <c r="O81" s="89"/>
      <c r="P81" s="148"/>
    </row>
    <row r="82" spans="1:16">
      <c r="A82" s="147">
        <v>9</v>
      </c>
      <c r="B82" s="64" t="s">
        <v>171</v>
      </c>
      <c r="C82" s="86" t="s">
        <v>124</v>
      </c>
      <c r="D82" s="87" t="s">
        <v>9</v>
      </c>
      <c r="E82" s="111">
        <f>E79</f>
        <v>15.1</v>
      </c>
      <c r="F82" s="88"/>
      <c r="G82" s="89"/>
      <c r="H82" s="71"/>
      <c r="I82" s="88"/>
      <c r="J82" s="66"/>
      <c r="K82" s="89"/>
      <c r="L82" s="89"/>
      <c r="M82" s="89"/>
      <c r="N82" s="89"/>
      <c r="O82" s="89"/>
      <c r="P82" s="148"/>
    </row>
    <row r="83" spans="1:16">
      <c r="A83" s="147">
        <v>10</v>
      </c>
      <c r="B83" s="64" t="s">
        <v>171</v>
      </c>
      <c r="C83" s="98" t="s">
        <v>178</v>
      </c>
      <c r="D83" s="87" t="s">
        <v>9</v>
      </c>
      <c r="E83" s="177">
        <f>E79</f>
        <v>15.1</v>
      </c>
      <c r="F83" s="89"/>
      <c r="G83" s="89"/>
      <c r="H83" s="89"/>
      <c r="I83" s="89"/>
      <c r="J83" s="66"/>
      <c r="K83" s="89"/>
      <c r="L83" s="89"/>
      <c r="M83" s="89"/>
      <c r="N83" s="89"/>
      <c r="O83" s="89"/>
      <c r="P83" s="148"/>
    </row>
    <row r="84" spans="1:16">
      <c r="A84" s="147">
        <v>11</v>
      </c>
      <c r="B84" s="64" t="s">
        <v>71</v>
      </c>
      <c r="C84" s="83" t="s">
        <v>179</v>
      </c>
      <c r="D84" s="10" t="s">
        <v>9</v>
      </c>
      <c r="E84" s="177">
        <f>E79</f>
        <v>15.1</v>
      </c>
      <c r="F84" s="65"/>
      <c r="G84" s="65"/>
      <c r="H84" s="89"/>
      <c r="I84" s="66"/>
      <c r="J84" s="66"/>
      <c r="K84" s="89"/>
      <c r="L84" s="89"/>
      <c r="M84" s="89"/>
      <c r="N84" s="89"/>
      <c r="O84" s="89"/>
      <c r="P84" s="148"/>
    </row>
    <row r="85" spans="1:16">
      <c r="A85" s="147">
        <v>12</v>
      </c>
      <c r="B85" s="64" t="s">
        <v>171</v>
      </c>
      <c r="C85" s="51" t="s">
        <v>180</v>
      </c>
      <c r="D85" s="10" t="s">
        <v>9</v>
      </c>
      <c r="E85" s="71">
        <f>E79</f>
        <v>15.1</v>
      </c>
      <c r="F85" s="82"/>
      <c r="G85" s="65"/>
      <c r="H85" s="82"/>
      <c r="I85" s="82"/>
      <c r="J85" s="82"/>
      <c r="K85" s="82"/>
      <c r="L85" s="82"/>
      <c r="M85" s="82"/>
      <c r="N85" s="82"/>
      <c r="O85" s="82"/>
      <c r="P85" s="148"/>
    </row>
    <row r="86" spans="1:16">
      <c r="A86" s="147">
        <v>13</v>
      </c>
      <c r="B86" s="64" t="s">
        <v>71</v>
      </c>
      <c r="C86" s="51" t="s">
        <v>175</v>
      </c>
      <c r="D86" s="10" t="s">
        <v>9</v>
      </c>
      <c r="E86" s="71">
        <f>E79</f>
        <v>15.1</v>
      </c>
      <c r="F86" s="71"/>
      <c r="G86" s="70"/>
      <c r="H86" s="81"/>
      <c r="I86" s="71"/>
      <c r="J86" s="66"/>
      <c r="K86" s="82"/>
      <c r="L86" s="82"/>
      <c r="M86" s="82"/>
      <c r="N86" s="82"/>
      <c r="O86" s="82"/>
      <c r="P86" s="148"/>
    </row>
    <row r="87" spans="1:16">
      <c r="A87" s="117">
        <v>14</v>
      </c>
      <c r="B87" s="62" t="s">
        <v>105</v>
      </c>
      <c r="C87" s="118" t="s">
        <v>133</v>
      </c>
      <c r="D87" s="10" t="s">
        <v>9</v>
      </c>
      <c r="E87" s="111">
        <f>E86</f>
        <v>15.1</v>
      </c>
      <c r="F87" s="71"/>
      <c r="G87" s="82"/>
      <c r="H87" s="71"/>
      <c r="I87" s="70"/>
      <c r="J87" s="71"/>
      <c r="K87" s="70"/>
      <c r="L87" s="70"/>
      <c r="M87" s="70"/>
      <c r="N87" s="70"/>
      <c r="O87" s="70"/>
      <c r="P87" s="119"/>
    </row>
    <row r="88" spans="1:16">
      <c r="A88" s="117">
        <v>15</v>
      </c>
      <c r="B88" s="62" t="s">
        <v>105</v>
      </c>
      <c r="C88" s="118" t="s">
        <v>134</v>
      </c>
      <c r="D88" s="10" t="s">
        <v>9</v>
      </c>
      <c r="E88" s="111">
        <f>E86</f>
        <v>15.1</v>
      </c>
      <c r="F88" s="71"/>
      <c r="G88" s="82"/>
      <c r="H88" s="71"/>
      <c r="I88" s="70"/>
      <c r="J88" s="71"/>
      <c r="K88" s="70"/>
      <c r="L88" s="70"/>
      <c r="M88" s="70"/>
      <c r="N88" s="70"/>
      <c r="O88" s="70"/>
      <c r="P88" s="119"/>
    </row>
    <row r="89" spans="1:16">
      <c r="A89" s="117">
        <v>16</v>
      </c>
      <c r="B89" s="62" t="s">
        <v>105</v>
      </c>
      <c r="C89" s="118" t="s">
        <v>135</v>
      </c>
      <c r="D89" s="10" t="s">
        <v>9</v>
      </c>
      <c r="E89" s="111">
        <f>E86</f>
        <v>15.1</v>
      </c>
      <c r="F89" s="71"/>
      <c r="G89" s="82"/>
      <c r="H89" s="71"/>
      <c r="I89" s="70"/>
      <c r="J89" s="71"/>
      <c r="K89" s="70"/>
      <c r="L89" s="70"/>
      <c r="M89" s="70"/>
      <c r="N89" s="70"/>
      <c r="O89" s="70"/>
      <c r="P89" s="119"/>
    </row>
    <row r="90" spans="1:16">
      <c r="A90" s="117">
        <v>51</v>
      </c>
      <c r="B90" s="62" t="s">
        <v>105</v>
      </c>
      <c r="C90" s="118" t="s">
        <v>110</v>
      </c>
      <c r="D90" s="10" t="s">
        <v>9</v>
      </c>
      <c r="E90" s="111">
        <f>2.67*21.28-6.3</f>
        <v>50.52</v>
      </c>
      <c r="F90" s="71"/>
      <c r="G90" s="82"/>
      <c r="H90" s="71"/>
      <c r="I90" s="70"/>
      <c r="J90" s="71"/>
      <c r="K90" s="70"/>
      <c r="L90" s="70"/>
      <c r="M90" s="70"/>
      <c r="N90" s="70"/>
      <c r="O90" s="70"/>
      <c r="P90" s="119"/>
    </row>
    <row r="91" spans="1:16">
      <c r="A91" s="117">
        <v>52</v>
      </c>
      <c r="B91" s="62" t="s">
        <v>105</v>
      </c>
      <c r="C91" s="118" t="s">
        <v>111</v>
      </c>
      <c r="D91" s="10" t="s">
        <v>9</v>
      </c>
      <c r="E91" s="111">
        <f>E90</f>
        <v>50.52</v>
      </c>
      <c r="F91" s="71"/>
      <c r="G91" s="82"/>
      <c r="H91" s="71"/>
      <c r="I91" s="70"/>
      <c r="J91" s="71"/>
      <c r="K91" s="70"/>
      <c r="L91" s="70"/>
      <c r="M91" s="70"/>
      <c r="N91" s="70"/>
      <c r="O91" s="70"/>
      <c r="P91" s="119"/>
    </row>
    <row r="92" spans="1:16">
      <c r="A92" s="117">
        <v>53</v>
      </c>
      <c r="B92" s="62" t="s">
        <v>105</v>
      </c>
      <c r="C92" s="118" t="s">
        <v>136</v>
      </c>
      <c r="D92" s="10" t="s">
        <v>9</v>
      </c>
      <c r="E92" s="111">
        <f>E90</f>
        <v>50.52</v>
      </c>
      <c r="F92" s="71"/>
      <c r="G92" s="82"/>
      <c r="H92" s="71"/>
      <c r="I92" s="70"/>
      <c r="J92" s="71"/>
      <c r="K92" s="70"/>
      <c r="L92" s="70"/>
      <c r="M92" s="70"/>
      <c r="N92" s="70"/>
      <c r="O92" s="70"/>
      <c r="P92" s="119"/>
    </row>
    <row r="93" spans="1:16">
      <c r="A93" s="147">
        <v>214</v>
      </c>
      <c r="B93" s="64" t="s">
        <v>67</v>
      </c>
      <c r="C93" s="51" t="s">
        <v>188</v>
      </c>
      <c r="D93" s="10" t="s">
        <v>9</v>
      </c>
      <c r="E93" s="111">
        <f>E79</f>
        <v>15.1</v>
      </c>
      <c r="F93" s="70"/>
      <c r="G93" s="70"/>
      <c r="H93" s="66"/>
      <c r="I93" s="66"/>
      <c r="J93" s="66"/>
      <c r="K93" s="71"/>
      <c r="L93" s="71"/>
      <c r="M93" s="71"/>
      <c r="N93" s="71"/>
      <c r="O93" s="71"/>
      <c r="P93" s="162"/>
    </row>
    <row r="94" spans="1:16">
      <c r="A94" s="147">
        <v>213</v>
      </c>
      <c r="B94" s="64" t="s">
        <v>67</v>
      </c>
      <c r="C94" s="51" t="s">
        <v>182</v>
      </c>
      <c r="D94" s="10" t="s">
        <v>9</v>
      </c>
      <c r="E94" s="111">
        <f>E93</f>
        <v>15.1</v>
      </c>
      <c r="F94" s="70"/>
      <c r="G94" s="70"/>
      <c r="H94" s="66"/>
      <c r="I94" s="66"/>
      <c r="J94" s="66"/>
      <c r="K94" s="71"/>
      <c r="L94" s="71"/>
      <c r="M94" s="71"/>
      <c r="N94" s="71"/>
      <c r="O94" s="71"/>
      <c r="P94" s="162"/>
    </row>
    <row r="95" spans="1:16">
      <c r="A95" s="147">
        <v>214</v>
      </c>
      <c r="B95" s="64" t="s">
        <v>67</v>
      </c>
      <c r="C95" s="51" t="s">
        <v>190</v>
      </c>
      <c r="D95" s="10" t="s">
        <v>9</v>
      </c>
      <c r="E95" s="111">
        <f>E93</f>
        <v>15.1</v>
      </c>
      <c r="F95" s="70"/>
      <c r="G95" s="70"/>
      <c r="H95" s="66"/>
      <c r="I95" s="66"/>
      <c r="J95" s="66"/>
      <c r="K95" s="71"/>
      <c r="L95" s="71"/>
      <c r="M95" s="71"/>
      <c r="N95" s="71"/>
      <c r="O95" s="71"/>
      <c r="P95" s="162"/>
    </row>
    <row r="96" spans="1:16">
      <c r="A96" s="147">
        <v>213</v>
      </c>
      <c r="B96" s="64" t="s">
        <v>67</v>
      </c>
      <c r="C96" s="51" t="s">
        <v>191</v>
      </c>
      <c r="D96" s="10" t="s">
        <v>9</v>
      </c>
      <c r="E96" s="111">
        <f>E93</f>
        <v>15.1</v>
      </c>
      <c r="F96" s="70"/>
      <c r="G96" s="70"/>
      <c r="H96" s="66"/>
      <c r="I96" s="66"/>
      <c r="J96" s="66"/>
      <c r="K96" s="71"/>
      <c r="L96" s="71"/>
      <c r="M96" s="71"/>
      <c r="N96" s="71"/>
      <c r="O96" s="71"/>
      <c r="P96" s="162"/>
    </row>
    <row r="97" spans="1:16">
      <c r="A97" s="147">
        <v>58</v>
      </c>
      <c r="B97" s="62" t="s">
        <v>105</v>
      </c>
      <c r="C97" s="98" t="s">
        <v>189</v>
      </c>
      <c r="D97" s="10" t="s">
        <v>44</v>
      </c>
      <c r="E97" s="291">
        <v>2</v>
      </c>
      <c r="F97" s="66"/>
      <c r="G97" s="82"/>
      <c r="H97" s="71"/>
      <c r="I97" s="66"/>
      <c r="J97" s="66"/>
      <c r="K97" s="82"/>
      <c r="L97" s="82"/>
      <c r="M97" s="82"/>
      <c r="N97" s="82"/>
      <c r="O97" s="82"/>
      <c r="P97" s="148"/>
    </row>
    <row r="98" spans="1:16">
      <c r="A98" s="147"/>
      <c r="B98" s="10"/>
      <c r="C98" s="68" t="s">
        <v>192</v>
      </c>
      <c r="D98" s="10"/>
      <c r="E98" s="74"/>
      <c r="F98" s="69"/>
      <c r="G98" s="82"/>
      <c r="H98" s="69"/>
      <c r="I98" s="69"/>
      <c r="J98" s="69"/>
      <c r="K98" s="69"/>
      <c r="L98" s="69"/>
      <c r="M98" s="69"/>
      <c r="N98" s="69"/>
      <c r="O98" s="69"/>
      <c r="P98" s="163"/>
    </row>
    <row r="99" spans="1:16" ht="14.25" customHeight="1">
      <c r="A99" s="147">
        <v>6</v>
      </c>
      <c r="B99" s="64" t="s">
        <v>71</v>
      </c>
      <c r="C99" s="83" t="s">
        <v>183</v>
      </c>
      <c r="D99" s="10" t="s">
        <v>9</v>
      </c>
      <c r="E99" s="177">
        <v>2.4</v>
      </c>
      <c r="F99" s="65"/>
      <c r="G99" s="65"/>
      <c r="H99" s="89"/>
      <c r="I99" s="66"/>
      <c r="J99" s="66"/>
      <c r="K99" s="89"/>
      <c r="L99" s="89"/>
      <c r="M99" s="89"/>
      <c r="N99" s="89"/>
      <c r="O99" s="89"/>
      <c r="P99" s="148"/>
    </row>
    <row r="100" spans="1:16">
      <c r="A100" s="147">
        <v>7</v>
      </c>
      <c r="B100" s="64" t="s">
        <v>171</v>
      </c>
      <c r="C100" s="51" t="s">
        <v>180</v>
      </c>
      <c r="D100" s="10" t="s">
        <v>9</v>
      </c>
      <c r="E100" s="71">
        <f>E99</f>
        <v>2.4</v>
      </c>
      <c r="F100" s="82"/>
      <c r="G100" s="65"/>
      <c r="H100" s="82"/>
      <c r="I100" s="82"/>
      <c r="J100" s="82"/>
      <c r="K100" s="82"/>
      <c r="L100" s="82"/>
      <c r="M100" s="82"/>
      <c r="N100" s="82"/>
      <c r="O100" s="82"/>
      <c r="P100" s="148"/>
    </row>
    <row r="101" spans="1:16">
      <c r="A101" s="147">
        <v>8</v>
      </c>
      <c r="B101" s="64" t="s">
        <v>171</v>
      </c>
      <c r="C101" s="98" t="s">
        <v>181</v>
      </c>
      <c r="D101" s="87" t="s">
        <v>9</v>
      </c>
      <c r="E101" s="177">
        <f>E99</f>
        <v>2.4</v>
      </c>
      <c r="F101" s="89"/>
      <c r="G101" s="89"/>
      <c r="H101" s="89"/>
      <c r="I101" s="89"/>
      <c r="J101" s="66"/>
      <c r="K101" s="89"/>
      <c r="L101" s="89"/>
      <c r="M101" s="89"/>
      <c r="N101" s="89"/>
      <c r="O101" s="89"/>
      <c r="P101" s="148"/>
    </row>
    <row r="102" spans="1:16">
      <c r="A102" s="147">
        <v>9</v>
      </c>
      <c r="B102" s="64" t="s">
        <v>171</v>
      </c>
      <c r="C102" s="86" t="s">
        <v>124</v>
      </c>
      <c r="D102" s="87" t="s">
        <v>9</v>
      </c>
      <c r="E102" s="111">
        <f>E99</f>
        <v>2.4</v>
      </c>
      <c r="F102" s="88"/>
      <c r="G102" s="89"/>
      <c r="H102" s="71"/>
      <c r="I102" s="88"/>
      <c r="J102" s="66"/>
      <c r="K102" s="89"/>
      <c r="L102" s="89"/>
      <c r="M102" s="89"/>
      <c r="N102" s="89"/>
      <c r="O102" s="89"/>
      <c r="P102" s="148"/>
    </row>
    <row r="103" spans="1:16">
      <c r="A103" s="147">
        <v>10</v>
      </c>
      <c r="B103" s="64" t="s">
        <v>171</v>
      </c>
      <c r="C103" s="98" t="s">
        <v>178</v>
      </c>
      <c r="D103" s="87" t="s">
        <v>9</v>
      </c>
      <c r="E103" s="177">
        <f>E99</f>
        <v>2.4</v>
      </c>
      <c r="F103" s="89"/>
      <c r="G103" s="89"/>
      <c r="H103" s="89"/>
      <c r="I103" s="89"/>
      <c r="J103" s="66"/>
      <c r="K103" s="89"/>
      <c r="L103" s="89"/>
      <c r="M103" s="89"/>
      <c r="N103" s="89"/>
      <c r="O103" s="89"/>
      <c r="P103" s="148"/>
    </row>
    <row r="104" spans="1:16">
      <c r="A104" s="147">
        <v>11</v>
      </c>
      <c r="B104" s="64" t="s">
        <v>71</v>
      </c>
      <c r="C104" s="83" t="s">
        <v>179</v>
      </c>
      <c r="D104" s="10" t="s">
        <v>9</v>
      </c>
      <c r="E104" s="177">
        <f>E99</f>
        <v>2.4</v>
      </c>
      <c r="F104" s="65"/>
      <c r="G104" s="65"/>
      <c r="H104" s="89"/>
      <c r="I104" s="66"/>
      <c r="J104" s="66"/>
      <c r="K104" s="89"/>
      <c r="L104" s="89"/>
      <c r="M104" s="89"/>
      <c r="N104" s="89"/>
      <c r="O104" s="89"/>
      <c r="P104" s="148"/>
    </row>
    <row r="105" spans="1:16">
      <c r="A105" s="147">
        <v>12</v>
      </c>
      <c r="B105" s="64" t="s">
        <v>171</v>
      </c>
      <c r="C105" s="51" t="s">
        <v>180</v>
      </c>
      <c r="D105" s="10" t="s">
        <v>9</v>
      </c>
      <c r="E105" s="71">
        <f>E99</f>
        <v>2.4</v>
      </c>
      <c r="F105" s="82"/>
      <c r="G105" s="65"/>
      <c r="H105" s="82"/>
      <c r="I105" s="82"/>
      <c r="J105" s="82"/>
      <c r="K105" s="82"/>
      <c r="L105" s="82"/>
      <c r="M105" s="82"/>
      <c r="N105" s="82"/>
      <c r="O105" s="82"/>
      <c r="P105" s="148"/>
    </row>
    <row r="106" spans="1:16">
      <c r="A106" s="147">
        <v>13</v>
      </c>
      <c r="B106" s="64" t="s">
        <v>71</v>
      </c>
      <c r="C106" s="51" t="s">
        <v>175</v>
      </c>
      <c r="D106" s="10" t="s">
        <v>9</v>
      </c>
      <c r="E106" s="71">
        <f>E99</f>
        <v>2.4</v>
      </c>
      <c r="F106" s="71"/>
      <c r="G106" s="70"/>
      <c r="H106" s="81"/>
      <c r="I106" s="71"/>
      <c r="J106" s="66"/>
      <c r="K106" s="82"/>
      <c r="L106" s="82"/>
      <c r="M106" s="82"/>
      <c r="N106" s="82"/>
      <c r="O106" s="82"/>
      <c r="P106" s="148"/>
    </row>
    <row r="107" spans="1:16">
      <c r="A107" s="117">
        <v>14</v>
      </c>
      <c r="B107" s="62" t="s">
        <v>105</v>
      </c>
      <c r="C107" s="118" t="s">
        <v>133</v>
      </c>
      <c r="D107" s="10" t="s">
        <v>9</v>
      </c>
      <c r="E107" s="111">
        <f>E106</f>
        <v>2.4</v>
      </c>
      <c r="F107" s="71"/>
      <c r="G107" s="82"/>
      <c r="H107" s="71"/>
      <c r="I107" s="70"/>
      <c r="J107" s="71"/>
      <c r="K107" s="70"/>
      <c r="L107" s="70"/>
      <c r="M107" s="70"/>
      <c r="N107" s="70"/>
      <c r="O107" s="70"/>
      <c r="P107" s="119"/>
    </row>
    <row r="108" spans="1:16">
      <c r="A108" s="117">
        <v>15</v>
      </c>
      <c r="B108" s="62" t="s">
        <v>105</v>
      </c>
      <c r="C108" s="118" t="s">
        <v>134</v>
      </c>
      <c r="D108" s="10" t="s">
        <v>9</v>
      </c>
      <c r="E108" s="111">
        <f>E106</f>
        <v>2.4</v>
      </c>
      <c r="F108" s="71"/>
      <c r="G108" s="82"/>
      <c r="H108" s="71"/>
      <c r="I108" s="70"/>
      <c r="J108" s="71"/>
      <c r="K108" s="70"/>
      <c r="L108" s="70"/>
      <c r="M108" s="70"/>
      <c r="N108" s="70"/>
      <c r="O108" s="70"/>
      <c r="P108" s="119"/>
    </row>
    <row r="109" spans="1:16">
      <c r="A109" s="117">
        <v>16</v>
      </c>
      <c r="B109" s="62" t="s">
        <v>105</v>
      </c>
      <c r="C109" s="118" t="s">
        <v>135</v>
      </c>
      <c r="D109" s="10" t="s">
        <v>9</v>
      </c>
      <c r="E109" s="111">
        <f>E106</f>
        <v>2.4</v>
      </c>
      <c r="F109" s="71"/>
      <c r="G109" s="82"/>
      <c r="H109" s="71"/>
      <c r="I109" s="70"/>
      <c r="J109" s="71"/>
      <c r="K109" s="70"/>
      <c r="L109" s="70"/>
      <c r="M109" s="70"/>
      <c r="N109" s="70"/>
      <c r="O109" s="70"/>
      <c r="P109" s="119"/>
    </row>
    <row r="110" spans="1:16">
      <c r="A110" s="117">
        <v>52</v>
      </c>
      <c r="B110" s="62" t="s">
        <v>105</v>
      </c>
      <c r="C110" s="118" t="s">
        <v>111</v>
      </c>
      <c r="D110" s="10" t="s">
        <v>9</v>
      </c>
      <c r="E110" s="111">
        <f>6.2*2.67-2.1</f>
        <v>14.45</v>
      </c>
      <c r="F110" s="71"/>
      <c r="G110" s="82"/>
      <c r="H110" s="71"/>
      <c r="I110" s="70"/>
      <c r="J110" s="71"/>
      <c r="K110" s="70"/>
      <c r="L110" s="70"/>
      <c r="M110" s="70"/>
      <c r="N110" s="70"/>
      <c r="O110" s="70"/>
      <c r="P110" s="119"/>
    </row>
    <row r="111" spans="1:16">
      <c r="A111" s="117">
        <v>53</v>
      </c>
      <c r="B111" s="62" t="s">
        <v>105</v>
      </c>
      <c r="C111" s="118" t="s">
        <v>193</v>
      </c>
      <c r="D111" s="10" t="s">
        <v>9</v>
      </c>
      <c r="E111" s="111">
        <f>E110</f>
        <v>14.45</v>
      </c>
      <c r="F111" s="71"/>
      <c r="G111" s="82"/>
      <c r="H111" s="71"/>
      <c r="I111" s="66"/>
      <c r="J111" s="71"/>
      <c r="K111" s="70"/>
      <c r="L111" s="70"/>
      <c r="M111" s="70"/>
      <c r="N111" s="70"/>
      <c r="O111" s="70"/>
      <c r="P111" s="119"/>
    </row>
    <row r="112" spans="1:16">
      <c r="A112" s="147">
        <v>214</v>
      </c>
      <c r="B112" s="64" t="s">
        <v>67</v>
      </c>
      <c r="C112" s="51" t="s">
        <v>188</v>
      </c>
      <c r="D112" s="10" t="s">
        <v>9</v>
      </c>
      <c r="E112" s="111">
        <f>E99</f>
        <v>2.4</v>
      </c>
      <c r="F112" s="70"/>
      <c r="G112" s="70"/>
      <c r="H112" s="66"/>
      <c r="I112" s="66"/>
      <c r="J112" s="66"/>
      <c r="K112" s="71"/>
      <c r="L112" s="71"/>
      <c r="M112" s="71"/>
      <c r="N112" s="71"/>
      <c r="O112" s="71"/>
      <c r="P112" s="162"/>
    </row>
    <row r="113" spans="1:16">
      <c r="A113" s="147">
        <v>213</v>
      </c>
      <c r="B113" s="64" t="s">
        <v>67</v>
      </c>
      <c r="C113" s="51" t="s">
        <v>182</v>
      </c>
      <c r="D113" s="10" t="s">
        <v>9</v>
      </c>
      <c r="E113" s="111">
        <f>E112</f>
        <v>2.4</v>
      </c>
      <c r="F113" s="70"/>
      <c r="G113" s="70"/>
      <c r="H113" s="66"/>
      <c r="I113" s="66"/>
      <c r="J113" s="66"/>
      <c r="K113" s="71"/>
      <c r="L113" s="71"/>
      <c r="M113" s="71"/>
      <c r="N113" s="71"/>
      <c r="O113" s="71"/>
      <c r="P113" s="162"/>
    </row>
    <row r="114" spans="1:16">
      <c r="A114" s="147">
        <v>214</v>
      </c>
      <c r="B114" s="64" t="s">
        <v>67</v>
      </c>
      <c r="C114" s="51" t="s">
        <v>190</v>
      </c>
      <c r="D114" s="10" t="s">
        <v>9</v>
      </c>
      <c r="E114" s="111">
        <f>E112</f>
        <v>2.4</v>
      </c>
      <c r="F114" s="70"/>
      <c r="G114" s="70"/>
      <c r="H114" s="66"/>
      <c r="I114" s="66"/>
      <c r="J114" s="66"/>
      <c r="K114" s="71"/>
      <c r="L114" s="71"/>
      <c r="M114" s="71"/>
      <c r="N114" s="71"/>
      <c r="O114" s="71"/>
      <c r="P114" s="162"/>
    </row>
    <row r="115" spans="1:16">
      <c r="A115" s="147">
        <v>213</v>
      </c>
      <c r="B115" s="64" t="s">
        <v>67</v>
      </c>
      <c r="C115" s="51" t="s">
        <v>191</v>
      </c>
      <c r="D115" s="10" t="s">
        <v>9</v>
      </c>
      <c r="E115" s="111">
        <f>E112</f>
        <v>2.4</v>
      </c>
      <c r="F115" s="70"/>
      <c r="G115" s="70"/>
      <c r="H115" s="66"/>
      <c r="I115" s="66"/>
      <c r="J115" s="66"/>
      <c r="K115" s="71"/>
      <c r="L115" s="71"/>
      <c r="M115" s="71"/>
      <c r="N115" s="71"/>
      <c r="O115" s="71"/>
      <c r="P115" s="162"/>
    </row>
    <row r="116" spans="1:16">
      <c r="A116" s="147">
        <v>58</v>
      </c>
      <c r="B116" s="62" t="s">
        <v>105</v>
      </c>
      <c r="C116" s="98" t="s">
        <v>189</v>
      </c>
      <c r="D116" s="10" t="s">
        <v>44</v>
      </c>
      <c r="E116" s="291">
        <v>2</v>
      </c>
      <c r="F116" s="66"/>
      <c r="G116" s="82"/>
      <c r="H116" s="71"/>
      <c r="I116" s="66"/>
      <c r="J116" s="66"/>
      <c r="K116" s="82"/>
      <c r="L116" s="82"/>
      <c r="M116" s="82"/>
      <c r="N116" s="82"/>
      <c r="O116" s="82"/>
      <c r="P116" s="148"/>
    </row>
    <row r="117" spans="1:16">
      <c r="A117" s="147"/>
      <c r="B117" s="10"/>
      <c r="C117" s="68" t="s">
        <v>150</v>
      </c>
      <c r="D117" s="10"/>
      <c r="E117" s="74"/>
      <c r="F117" s="69"/>
      <c r="G117" s="82"/>
      <c r="H117" s="69"/>
      <c r="I117" s="69"/>
      <c r="J117" s="69"/>
      <c r="K117" s="69"/>
      <c r="L117" s="69"/>
      <c r="M117" s="69"/>
      <c r="N117" s="69"/>
      <c r="O117" s="69"/>
      <c r="P117" s="163"/>
    </row>
    <row r="118" spans="1:16">
      <c r="A118" s="147">
        <v>6</v>
      </c>
      <c r="B118" s="64" t="s">
        <v>71</v>
      </c>
      <c r="C118" s="83" t="s">
        <v>183</v>
      </c>
      <c r="D118" s="10" t="s">
        <v>9</v>
      </c>
      <c r="E118" s="177">
        <v>2.4</v>
      </c>
      <c r="F118" s="65"/>
      <c r="G118" s="65"/>
      <c r="H118" s="89"/>
      <c r="I118" s="66"/>
      <c r="J118" s="66"/>
      <c r="K118" s="89"/>
      <c r="L118" s="89"/>
      <c r="M118" s="89"/>
      <c r="N118" s="89"/>
      <c r="O118" s="89"/>
      <c r="P118" s="148"/>
    </row>
    <row r="119" spans="1:16">
      <c r="A119" s="147">
        <v>7</v>
      </c>
      <c r="B119" s="64" t="s">
        <v>171</v>
      </c>
      <c r="C119" s="51" t="s">
        <v>180</v>
      </c>
      <c r="D119" s="10" t="s">
        <v>9</v>
      </c>
      <c r="E119" s="71">
        <f>E118</f>
        <v>2.4</v>
      </c>
      <c r="F119" s="82"/>
      <c r="G119" s="65"/>
      <c r="H119" s="82"/>
      <c r="I119" s="82"/>
      <c r="J119" s="82"/>
      <c r="K119" s="82"/>
      <c r="L119" s="82"/>
      <c r="M119" s="82"/>
      <c r="N119" s="82"/>
      <c r="O119" s="82"/>
      <c r="P119" s="148"/>
    </row>
    <row r="120" spans="1:16">
      <c r="A120" s="147">
        <v>8</v>
      </c>
      <c r="B120" s="64" t="s">
        <v>171</v>
      </c>
      <c r="C120" s="98" t="s">
        <v>181</v>
      </c>
      <c r="D120" s="87" t="s">
        <v>9</v>
      </c>
      <c r="E120" s="177">
        <f>E118</f>
        <v>2.4</v>
      </c>
      <c r="F120" s="89"/>
      <c r="G120" s="89"/>
      <c r="H120" s="89"/>
      <c r="I120" s="89"/>
      <c r="J120" s="66"/>
      <c r="K120" s="89"/>
      <c r="L120" s="89"/>
      <c r="M120" s="89"/>
      <c r="N120" s="89"/>
      <c r="O120" s="89"/>
      <c r="P120" s="148"/>
    </row>
    <row r="121" spans="1:16">
      <c r="A121" s="147">
        <v>9</v>
      </c>
      <c r="B121" s="64" t="s">
        <v>171</v>
      </c>
      <c r="C121" s="86" t="s">
        <v>124</v>
      </c>
      <c r="D121" s="87" t="s">
        <v>9</v>
      </c>
      <c r="E121" s="111">
        <f>E118</f>
        <v>2.4</v>
      </c>
      <c r="F121" s="88"/>
      <c r="G121" s="89"/>
      <c r="H121" s="71"/>
      <c r="I121" s="88"/>
      <c r="J121" s="66"/>
      <c r="K121" s="89"/>
      <c r="L121" s="89"/>
      <c r="M121" s="89"/>
      <c r="N121" s="89"/>
      <c r="O121" s="89"/>
      <c r="P121" s="148"/>
    </row>
    <row r="122" spans="1:16">
      <c r="A122" s="147">
        <v>10</v>
      </c>
      <c r="B122" s="64" t="s">
        <v>171</v>
      </c>
      <c r="C122" s="98" t="s">
        <v>178</v>
      </c>
      <c r="D122" s="87" t="s">
        <v>9</v>
      </c>
      <c r="E122" s="177">
        <f>E118</f>
        <v>2.4</v>
      </c>
      <c r="F122" s="89"/>
      <c r="G122" s="89"/>
      <c r="H122" s="89"/>
      <c r="I122" s="89"/>
      <c r="J122" s="66"/>
      <c r="K122" s="89"/>
      <c r="L122" s="89"/>
      <c r="M122" s="89"/>
      <c r="N122" s="89"/>
      <c r="O122" s="89"/>
      <c r="P122" s="148"/>
    </row>
    <row r="123" spans="1:16">
      <c r="A123" s="147">
        <v>11</v>
      </c>
      <c r="B123" s="64" t="s">
        <v>71</v>
      </c>
      <c r="C123" s="83" t="s">
        <v>179</v>
      </c>
      <c r="D123" s="10" t="s">
        <v>9</v>
      </c>
      <c r="E123" s="177">
        <f>E118</f>
        <v>2.4</v>
      </c>
      <c r="F123" s="65"/>
      <c r="G123" s="65"/>
      <c r="H123" s="89"/>
      <c r="I123" s="66"/>
      <c r="J123" s="66"/>
      <c r="K123" s="89"/>
      <c r="L123" s="89"/>
      <c r="M123" s="89"/>
      <c r="N123" s="89"/>
      <c r="O123" s="89"/>
      <c r="P123" s="148"/>
    </row>
    <row r="124" spans="1:16">
      <c r="A124" s="147">
        <v>12</v>
      </c>
      <c r="B124" s="64" t="s">
        <v>171</v>
      </c>
      <c r="C124" s="51" t="s">
        <v>180</v>
      </c>
      <c r="D124" s="10" t="s">
        <v>9</v>
      </c>
      <c r="E124" s="71">
        <f>E118</f>
        <v>2.4</v>
      </c>
      <c r="F124" s="82"/>
      <c r="G124" s="65"/>
      <c r="H124" s="82"/>
      <c r="I124" s="82"/>
      <c r="J124" s="82"/>
      <c r="K124" s="82"/>
      <c r="L124" s="82"/>
      <c r="M124" s="82"/>
      <c r="N124" s="82"/>
      <c r="O124" s="82"/>
      <c r="P124" s="148"/>
    </row>
    <row r="125" spans="1:16">
      <c r="A125" s="147">
        <v>13</v>
      </c>
      <c r="B125" s="64" t="s">
        <v>71</v>
      </c>
      <c r="C125" s="51" t="s">
        <v>175</v>
      </c>
      <c r="D125" s="10" t="s">
        <v>9</v>
      </c>
      <c r="E125" s="71">
        <f>E118</f>
        <v>2.4</v>
      </c>
      <c r="F125" s="71"/>
      <c r="G125" s="70"/>
      <c r="H125" s="81"/>
      <c r="I125" s="71"/>
      <c r="J125" s="66"/>
      <c r="K125" s="82"/>
      <c r="L125" s="82"/>
      <c r="M125" s="82"/>
      <c r="N125" s="82"/>
      <c r="O125" s="82"/>
      <c r="P125" s="148"/>
    </row>
    <row r="126" spans="1:16">
      <c r="A126" s="117">
        <v>14</v>
      </c>
      <c r="B126" s="62" t="s">
        <v>105</v>
      </c>
      <c r="C126" s="118" t="s">
        <v>133</v>
      </c>
      <c r="D126" s="10" t="s">
        <v>9</v>
      </c>
      <c r="E126" s="111">
        <f>E125</f>
        <v>2.4</v>
      </c>
      <c r="F126" s="71"/>
      <c r="G126" s="82"/>
      <c r="H126" s="71"/>
      <c r="I126" s="70"/>
      <c r="J126" s="71"/>
      <c r="K126" s="70"/>
      <c r="L126" s="70"/>
      <c r="M126" s="70"/>
      <c r="N126" s="70"/>
      <c r="O126" s="70"/>
      <c r="P126" s="119"/>
    </row>
    <row r="127" spans="1:16">
      <c r="A127" s="117">
        <v>15</v>
      </c>
      <c r="B127" s="62" t="s">
        <v>105</v>
      </c>
      <c r="C127" s="118" t="s">
        <v>134</v>
      </c>
      <c r="D127" s="10" t="s">
        <v>9</v>
      </c>
      <c r="E127" s="111">
        <f>E125</f>
        <v>2.4</v>
      </c>
      <c r="F127" s="71"/>
      <c r="G127" s="82"/>
      <c r="H127" s="71"/>
      <c r="I127" s="70"/>
      <c r="J127" s="71"/>
      <c r="K127" s="70"/>
      <c r="L127" s="70"/>
      <c r="M127" s="70"/>
      <c r="N127" s="70"/>
      <c r="O127" s="70"/>
      <c r="P127" s="119"/>
    </row>
    <row r="128" spans="1:16">
      <c r="A128" s="117">
        <v>16</v>
      </c>
      <c r="B128" s="62" t="s">
        <v>105</v>
      </c>
      <c r="C128" s="118" t="s">
        <v>135</v>
      </c>
      <c r="D128" s="10" t="s">
        <v>9</v>
      </c>
      <c r="E128" s="111">
        <f>E125</f>
        <v>2.4</v>
      </c>
      <c r="F128" s="71"/>
      <c r="G128" s="82"/>
      <c r="H128" s="71"/>
      <c r="I128" s="70"/>
      <c r="J128" s="71"/>
      <c r="K128" s="70"/>
      <c r="L128" s="70"/>
      <c r="M128" s="70"/>
      <c r="N128" s="70"/>
      <c r="O128" s="70"/>
      <c r="P128" s="119"/>
    </row>
    <row r="129" spans="1:16">
      <c r="A129" s="117">
        <v>52</v>
      </c>
      <c r="B129" s="62" t="s">
        <v>105</v>
      </c>
      <c r="C129" s="118" t="s">
        <v>111</v>
      </c>
      <c r="D129" s="10" t="s">
        <v>9</v>
      </c>
      <c r="E129" s="111">
        <f>6.2*2.67-2.1</f>
        <v>14.45</v>
      </c>
      <c r="F129" s="71"/>
      <c r="G129" s="82"/>
      <c r="H129" s="71"/>
      <c r="I129" s="70"/>
      <c r="J129" s="71"/>
      <c r="K129" s="70"/>
      <c r="L129" s="70"/>
      <c r="M129" s="70"/>
      <c r="N129" s="70"/>
      <c r="O129" s="70"/>
      <c r="P129" s="119"/>
    </row>
    <row r="130" spans="1:16">
      <c r="A130" s="117">
        <v>53</v>
      </c>
      <c r="B130" s="62" t="s">
        <v>105</v>
      </c>
      <c r="C130" s="118" t="s">
        <v>193</v>
      </c>
      <c r="D130" s="10" t="s">
        <v>9</v>
      </c>
      <c r="E130" s="111">
        <f>E129</f>
        <v>14.45</v>
      </c>
      <c r="F130" s="71"/>
      <c r="G130" s="82"/>
      <c r="H130" s="71"/>
      <c r="I130" s="66"/>
      <c r="J130" s="71"/>
      <c r="K130" s="70"/>
      <c r="L130" s="70"/>
      <c r="M130" s="70"/>
      <c r="N130" s="70"/>
      <c r="O130" s="70"/>
      <c r="P130" s="119"/>
    </row>
    <row r="131" spans="1:16">
      <c r="A131" s="147">
        <v>214</v>
      </c>
      <c r="B131" s="64" t="s">
        <v>67</v>
      </c>
      <c r="C131" s="51" t="s">
        <v>188</v>
      </c>
      <c r="D131" s="10" t="s">
        <v>9</v>
      </c>
      <c r="E131" s="111">
        <f>E118</f>
        <v>2.4</v>
      </c>
      <c r="F131" s="70"/>
      <c r="G131" s="70"/>
      <c r="H131" s="66"/>
      <c r="I131" s="66"/>
      <c r="J131" s="66"/>
      <c r="K131" s="71"/>
      <c r="L131" s="71"/>
      <c r="M131" s="71"/>
      <c r="N131" s="71"/>
      <c r="O131" s="71"/>
      <c r="P131" s="162"/>
    </row>
    <row r="132" spans="1:16">
      <c r="A132" s="147">
        <v>213</v>
      </c>
      <c r="B132" s="64" t="s">
        <v>67</v>
      </c>
      <c r="C132" s="51" t="s">
        <v>182</v>
      </c>
      <c r="D132" s="10" t="s">
        <v>9</v>
      </c>
      <c r="E132" s="111">
        <f>E131</f>
        <v>2.4</v>
      </c>
      <c r="F132" s="70"/>
      <c r="G132" s="70"/>
      <c r="H132" s="66"/>
      <c r="I132" s="66"/>
      <c r="J132" s="66"/>
      <c r="K132" s="71"/>
      <c r="L132" s="71"/>
      <c r="M132" s="71"/>
      <c r="N132" s="71"/>
      <c r="O132" s="71"/>
      <c r="P132" s="162"/>
    </row>
    <row r="133" spans="1:16">
      <c r="A133" s="147">
        <v>214</v>
      </c>
      <c r="B133" s="64" t="s">
        <v>67</v>
      </c>
      <c r="C133" s="51" t="s">
        <v>190</v>
      </c>
      <c r="D133" s="10" t="s">
        <v>9</v>
      </c>
      <c r="E133" s="111">
        <f>E131</f>
        <v>2.4</v>
      </c>
      <c r="F133" s="70"/>
      <c r="G133" s="70"/>
      <c r="H133" s="66"/>
      <c r="I133" s="66"/>
      <c r="J133" s="66"/>
      <c r="K133" s="71"/>
      <c r="L133" s="71"/>
      <c r="M133" s="71"/>
      <c r="N133" s="71"/>
      <c r="O133" s="71"/>
      <c r="P133" s="162"/>
    </row>
    <row r="134" spans="1:16">
      <c r="A134" s="147">
        <v>213</v>
      </c>
      <c r="B134" s="64" t="s">
        <v>67</v>
      </c>
      <c r="C134" s="51" t="s">
        <v>191</v>
      </c>
      <c r="D134" s="10" t="s">
        <v>9</v>
      </c>
      <c r="E134" s="111">
        <f>E131</f>
        <v>2.4</v>
      </c>
      <c r="F134" s="70"/>
      <c r="G134" s="70"/>
      <c r="H134" s="66"/>
      <c r="I134" s="66"/>
      <c r="J134" s="66"/>
      <c r="K134" s="71"/>
      <c r="L134" s="71"/>
      <c r="M134" s="71"/>
      <c r="N134" s="71"/>
      <c r="O134" s="71"/>
      <c r="P134" s="162"/>
    </row>
    <row r="135" spans="1:16">
      <c r="A135" s="147">
        <v>58</v>
      </c>
      <c r="B135" s="62" t="s">
        <v>105</v>
      </c>
      <c r="C135" s="98" t="s">
        <v>189</v>
      </c>
      <c r="D135" s="10" t="s">
        <v>44</v>
      </c>
      <c r="E135" s="291">
        <v>2</v>
      </c>
      <c r="F135" s="66"/>
      <c r="G135" s="82"/>
      <c r="H135" s="71"/>
      <c r="I135" s="66"/>
      <c r="J135" s="66"/>
      <c r="K135" s="82"/>
      <c r="L135" s="82"/>
      <c r="M135" s="82"/>
      <c r="N135" s="82"/>
      <c r="O135" s="82"/>
      <c r="P135" s="148"/>
    </row>
    <row r="136" spans="1:16">
      <c r="A136" s="147"/>
      <c r="B136" s="10"/>
      <c r="C136" s="68" t="s">
        <v>146</v>
      </c>
      <c r="D136" s="10"/>
      <c r="E136" s="74"/>
      <c r="F136" s="69"/>
      <c r="G136" s="82"/>
      <c r="H136" s="69"/>
      <c r="I136" s="69"/>
      <c r="J136" s="69"/>
      <c r="K136" s="69"/>
      <c r="L136" s="69"/>
      <c r="M136" s="69"/>
      <c r="N136" s="69"/>
      <c r="O136" s="69"/>
      <c r="P136" s="163"/>
    </row>
    <row r="137" spans="1:16">
      <c r="A137" s="147">
        <v>6</v>
      </c>
      <c r="B137" s="64" t="s">
        <v>71</v>
      </c>
      <c r="C137" s="83" t="s">
        <v>183</v>
      </c>
      <c r="D137" s="10" t="s">
        <v>9</v>
      </c>
      <c r="E137" s="177">
        <v>6.2</v>
      </c>
      <c r="F137" s="65"/>
      <c r="G137" s="65"/>
      <c r="H137" s="89"/>
      <c r="I137" s="66"/>
      <c r="J137" s="66"/>
      <c r="K137" s="89"/>
      <c r="L137" s="89"/>
      <c r="M137" s="89"/>
      <c r="N137" s="89"/>
      <c r="O137" s="89"/>
      <c r="P137" s="148"/>
    </row>
    <row r="138" spans="1:16">
      <c r="A138" s="147">
        <v>7</v>
      </c>
      <c r="B138" s="64" t="s">
        <v>171</v>
      </c>
      <c r="C138" s="51" t="s">
        <v>180</v>
      </c>
      <c r="D138" s="10" t="s">
        <v>9</v>
      </c>
      <c r="E138" s="71">
        <f>E137</f>
        <v>6.2</v>
      </c>
      <c r="F138" s="82"/>
      <c r="G138" s="65"/>
      <c r="H138" s="82"/>
      <c r="I138" s="82"/>
      <c r="J138" s="82"/>
      <c r="K138" s="82"/>
      <c r="L138" s="82"/>
      <c r="M138" s="82"/>
      <c r="N138" s="82"/>
      <c r="O138" s="82"/>
      <c r="P138" s="148"/>
    </row>
    <row r="139" spans="1:16">
      <c r="A139" s="147">
        <v>8</v>
      </c>
      <c r="B139" s="64" t="s">
        <v>171</v>
      </c>
      <c r="C139" s="98" t="s">
        <v>181</v>
      </c>
      <c r="D139" s="87" t="s">
        <v>9</v>
      </c>
      <c r="E139" s="177">
        <f>E137</f>
        <v>6.2</v>
      </c>
      <c r="F139" s="89"/>
      <c r="G139" s="89"/>
      <c r="H139" s="89"/>
      <c r="I139" s="89"/>
      <c r="J139" s="66"/>
      <c r="K139" s="89"/>
      <c r="L139" s="89"/>
      <c r="M139" s="89"/>
      <c r="N139" s="89"/>
      <c r="O139" s="89"/>
      <c r="P139" s="148"/>
    </row>
    <row r="140" spans="1:16">
      <c r="A140" s="147">
        <v>9</v>
      </c>
      <c r="B140" s="64" t="s">
        <v>171</v>
      </c>
      <c r="C140" s="86" t="s">
        <v>124</v>
      </c>
      <c r="D140" s="87" t="s">
        <v>9</v>
      </c>
      <c r="E140" s="111">
        <f>E137</f>
        <v>6.2</v>
      </c>
      <c r="F140" s="88"/>
      <c r="G140" s="89"/>
      <c r="H140" s="71"/>
      <c r="I140" s="88"/>
      <c r="J140" s="66"/>
      <c r="K140" s="89"/>
      <c r="L140" s="89"/>
      <c r="M140" s="89"/>
      <c r="N140" s="89"/>
      <c r="O140" s="89"/>
      <c r="P140" s="148"/>
    </row>
    <row r="141" spans="1:16">
      <c r="A141" s="147">
        <v>10</v>
      </c>
      <c r="B141" s="64" t="s">
        <v>171</v>
      </c>
      <c r="C141" s="98" t="s">
        <v>178</v>
      </c>
      <c r="D141" s="87" t="s">
        <v>9</v>
      </c>
      <c r="E141" s="177">
        <f>E137</f>
        <v>6.2</v>
      </c>
      <c r="F141" s="89"/>
      <c r="G141" s="89"/>
      <c r="H141" s="89"/>
      <c r="I141" s="89"/>
      <c r="J141" s="66"/>
      <c r="K141" s="89"/>
      <c r="L141" s="89"/>
      <c r="M141" s="89"/>
      <c r="N141" s="89"/>
      <c r="O141" s="89"/>
      <c r="P141" s="148"/>
    </row>
    <row r="142" spans="1:16">
      <c r="A142" s="147">
        <v>11</v>
      </c>
      <c r="B142" s="64" t="s">
        <v>71</v>
      </c>
      <c r="C142" s="83" t="s">
        <v>179</v>
      </c>
      <c r="D142" s="10" t="s">
        <v>9</v>
      </c>
      <c r="E142" s="177">
        <f>E137</f>
        <v>6.2</v>
      </c>
      <c r="F142" s="65"/>
      <c r="G142" s="65"/>
      <c r="H142" s="89"/>
      <c r="I142" s="66"/>
      <c r="J142" s="66"/>
      <c r="K142" s="89"/>
      <c r="L142" s="89"/>
      <c r="M142" s="89"/>
      <c r="N142" s="89"/>
      <c r="O142" s="89"/>
      <c r="P142" s="148"/>
    </row>
    <row r="143" spans="1:16">
      <c r="A143" s="147">
        <v>12</v>
      </c>
      <c r="B143" s="64" t="s">
        <v>171</v>
      </c>
      <c r="C143" s="51" t="s">
        <v>180</v>
      </c>
      <c r="D143" s="10" t="s">
        <v>9</v>
      </c>
      <c r="E143" s="71">
        <f>E137</f>
        <v>6.2</v>
      </c>
      <c r="F143" s="82"/>
      <c r="G143" s="65"/>
      <c r="H143" s="82"/>
      <c r="I143" s="82"/>
      <c r="J143" s="82"/>
      <c r="K143" s="82"/>
      <c r="L143" s="82"/>
      <c r="M143" s="82"/>
      <c r="N143" s="82"/>
      <c r="O143" s="82"/>
      <c r="P143" s="148"/>
    </row>
    <row r="144" spans="1:16">
      <c r="A144" s="147">
        <v>13</v>
      </c>
      <c r="B144" s="64" t="s">
        <v>71</v>
      </c>
      <c r="C144" s="51" t="s">
        <v>175</v>
      </c>
      <c r="D144" s="10" t="s">
        <v>9</v>
      </c>
      <c r="E144" s="71">
        <f>E137</f>
        <v>6.2</v>
      </c>
      <c r="F144" s="71"/>
      <c r="G144" s="70"/>
      <c r="H144" s="81"/>
      <c r="I144" s="71"/>
      <c r="J144" s="66"/>
      <c r="K144" s="82"/>
      <c r="L144" s="82"/>
      <c r="M144" s="82"/>
      <c r="N144" s="82"/>
      <c r="O144" s="82"/>
      <c r="P144" s="148"/>
    </row>
    <row r="145" spans="1:16">
      <c r="A145" s="117">
        <v>14</v>
      </c>
      <c r="B145" s="62" t="s">
        <v>105</v>
      </c>
      <c r="C145" s="118" t="s">
        <v>133</v>
      </c>
      <c r="D145" s="10" t="s">
        <v>9</v>
      </c>
      <c r="E145" s="111">
        <f>E144</f>
        <v>6.2</v>
      </c>
      <c r="F145" s="71"/>
      <c r="G145" s="82"/>
      <c r="H145" s="71"/>
      <c r="I145" s="70"/>
      <c r="J145" s="71"/>
      <c r="K145" s="70"/>
      <c r="L145" s="70"/>
      <c r="M145" s="70"/>
      <c r="N145" s="70"/>
      <c r="O145" s="70"/>
      <c r="P145" s="119"/>
    </row>
    <row r="146" spans="1:16">
      <c r="A146" s="117">
        <v>15</v>
      </c>
      <c r="B146" s="62" t="s">
        <v>105</v>
      </c>
      <c r="C146" s="118" t="s">
        <v>134</v>
      </c>
      <c r="D146" s="10" t="s">
        <v>9</v>
      </c>
      <c r="E146" s="111">
        <f>E144</f>
        <v>6.2</v>
      </c>
      <c r="F146" s="71"/>
      <c r="G146" s="82"/>
      <c r="H146" s="71"/>
      <c r="I146" s="70"/>
      <c r="J146" s="71"/>
      <c r="K146" s="70"/>
      <c r="L146" s="70"/>
      <c r="M146" s="70"/>
      <c r="N146" s="70"/>
      <c r="O146" s="70"/>
      <c r="P146" s="119"/>
    </row>
    <row r="147" spans="1:16">
      <c r="A147" s="117">
        <v>16</v>
      </c>
      <c r="B147" s="62" t="s">
        <v>105</v>
      </c>
      <c r="C147" s="118" t="s">
        <v>135</v>
      </c>
      <c r="D147" s="10" t="s">
        <v>9</v>
      </c>
      <c r="E147" s="111">
        <f>E144</f>
        <v>6.2</v>
      </c>
      <c r="F147" s="71"/>
      <c r="G147" s="82"/>
      <c r="H147" s="71"/>
      <c r="I147" s="70"/>
      <c r="J147" s="71"/>
      <c r="K147" s="70"/>
      <c r="L147" s="70"/>
      <c r="M147" s="70"/>
      <c r="N147" s="70"/>
      <c r="O147" s="70"/>
      <c r="P147" s="119"/>
    </row>
    <row r="148" spans="1:16">
      <c r="A148" s="117">
        <v>52</v>
      </c>
      <c r="B148" s="62" t="s">
        <v>105</v>
      </c>
      <c r="C148" s="118" t="s">
        <v>111</v>
      </c>
      <c r="D148" s="10" t="s">
        <v>9</v>
      </c>
      <c r="E148" s="111">
        <f>6.2*2.67-2.1</f>
        <v>14.45</v>
      </c>
      <c r="F148" s="71"/>
      <c r="G148" s="82"/>
      <c r="H148" s="71"/>
      <c r="I148" s="70"/>
      <c r="J148" s="71"/>
      <c r="K148" s="70"/>
      <c r="L148" s="70"/>
      <c r="M148" s="70"/>
      <c r="N148" s="70"/>
      <c r="O148" s="70"/>
      <c r="P148" s="119"/>
    </row>
    <row r="149" spans="1:16">
      <c r="A149" s="147">
        <v>214</v>
      </c>
      <c r="B149" s="64" t="s">
        <v>67</v>
      </c>
      <c r="C149" s="51" t="s">
        <v>194</v>
      </c>
      <c r="D149" s="10" t="s">
        <v>9</v>
      </c>
      <c r="E149" s="111">
        <f>(3.2+1.99+1.99+3.2+4)*2.67-2.1</f>
        <v>36.29</v>
      </c>
      <c r="F149" s="70"/>
      <c r="G149" s="70"/>
      <c r="H149" s="66"/>
      <c r="I149" s="66"/>
      <c r="J149" s="66"/>
      <c r="K149" s="71"/>
      <c r="L149" s="71"/>
      <c r="M149" s="71"/>
      <c r="N149" s="71"/>
      <c r="O149" s="71"/>
      <c r="P149" s="162"/>
    </row>
    <row r="150" spans="1:16">
      <c r="A150" s="117">
        <v>53</v>
      </c>
      <c r="B150" s="62" t="s">
        <v>105</v>
      </c>
      <c r="C150" s="118" t="s">
        <v>193</v>
      </c>
      <c r="D150" s="10" t="s">
        <v>9</v>
      </c>
      <c r="E150" s="111">
        <f>E149</f>
        <v>36.29</v>
      </c>
      <c r="F150" s="71"/>
      <c r="G150" s="82"/>
      <c r="H150" s="71"/>
      <c r="I150" s="66"/>
      <c r="J150" s="71"/>
      <c r="K150" s="70"/>
      <c r="L150" s="70"/>
      <c r="M150" s="70"/>
      <c r="N150" s="70"/>
      <c r="O150" s="70"/>
      <c r="P150" s="119"/>
    </row>
    <row r="151" spans="1:16">
      <c r="A151" s="147">
        <v>214</v>
      </c>
      <c r="B151" s="64" t="s">
        <v>67</v>
      </c>
      <c r="C151" s="51" t="s">
        <v>188</v>
      </c>
      <c r="D151" s="10" t="s">
        <v>9</v>
      </c>
      <c r="E151" s="111">
        <f>E137</f>
        <v>6.2</v>
      </c>
      <c r="F151" s="70"/>
      <c r="G151" s="70"/>
      <c r="H151" s="66"/>
      <c r="I151" s="66"/>
      <c r="J151" s="66"/>
      <c r="K151" s="71"/>
      <c r="L151" s="71"/>
      <c r="M151" s="71"/>
      <c r="N151" s="71"/>
      <c r="O151" s="71"/>
      <c r="P151" s="162"/>
    </row>
    <row r="152" spans="1:16">
      <c r="A152" s="147">
        <v>213</v>
      </c>
      <c r="B152" s="64" t="s">
        <v>67</v>
      </c>
      <c r="C152" s="51" t="s">
        <v>182</v>
      </c>
      <c r="D152" s="10" t="s">
        <v>9</v>
      </c>
      <c r="E152" s="111">
        <f>E151</f>
        <v>6.2</v>
      </c>
      <c r="F152" s="70"/>
      <c r="G152" s="70"/>
      <c r="H152" s="66"/>
      <c r="I152" s="66"/>
      <c r="J152" s="66"/>
      <c r="K152" s="71"/>
      <c r="L152" s="71"/>
      <c r="M152" s="71"/>
      <c r="N152" s="71"/>
      <c r="O152" s="71"/>
      <c r="P152" s="162"/>
    </row>
    <row r="153" spans="1:16">
      <c r="A153" s="147">
        <v>214</v>
      </c>
      <c r="B153" s="64" t="s">
        <v>67</v>
      </c>
      <c r="C153" s="51" t="s">
        <v>190</v>
      </c>
      <c r="D153" s="10" t="s">
        <v>9</v>
      </c>
      <c r="E153" s="111">
        <f>E151</f>
        <v>6.2</v>
      </c>
      <c r="F153" s="70"/>
      <c r="G153" s="70"/>
      <c r="H153" s="66"/>
      <c r="I153" s="66"/>
      <c r="J153" s="66"/>
      <c r="K153" s="71"/>
      <c r="L153" s="71"/>
      <c r="M153" s="71"/>
      <c r="N153" s="71"/>
      <c r="O153" s="71"/>
      <c r="P153" s="162"/>
    </row>
    <row r="154" spans="1:16">
      <c r="A154" s="147">
        <v>213</v>
      </c>
      <c r="B154" s="64" t="s">
        <v>67</v>
      </c>
      <c r="C154" s="51" t="s">
        <v>191</v>
      </c>
      <c r="D154" s="10" t="s">
        <v>9</v>
      </c>
      <c r="E154" s="111">
        <f>E151</f>
        <v>6.2</v>
      </c>
      <c r="F154" s="70"/>
      <c r="G154" s="70"/>
      <c r="H154" s="66"/>
      <c r="I154" s="66"/>
      <c r="J154" s="66"/>
      <c r="K154" s="71"/>
      <c r="L154" s="71"/>
      <c r="M154" s="71"/>
      <c r="N154" s="71"/>
      <c r="O154" s="71"/>
      <c r="P154" s="162"/>
    </row>
    <row r="155" spans="1:16">
      <c r="A155" s="147"/>
      <c r="B155" s="10"/>
      <c r="C155" s="68" t="s">
        <v>156</v>
      </c>
      <c r="D155" s="10"/>
      <c r="E155" s="74"/>
      <c r="F155" s="69"/>
      <c r="G155" s="82"/>
      <c r="H155" s="69"/>
      <c r="I155" s="69"/>
      <c r="J155" s="69"/>
      <c r="K155" s="69"/>
      <c r="L155" s="69"/>
      <c r="M155" s="69"/>
      <c r="N155" s="69"/>
      <c r="O155" s="69"/>
      <c r="P155" s="163"/>
    </row>
    <row r="156" spans="1:16">
      <c r="A156" s="147">
        <v>6</v>
      </c>
      <c r="B156" s="64" t="s">
        <v>71</v>
      </c>
      <c r="C156" s="83" t="s">
        <v>183</v>
      </c>
      <c r="D156" s="10" t="s">
        <v>9</v>
      </c>
      <c r="E156" s="177">
        <v>6.2</v>
      </c>
      <c r="F156" s="65"/>
      <c r="G156" s="65"/>
      <c r="H156" s="89"/>
      <c r="I156" s="66"/>
      <c r="J156" s="66"/>
      <c r="K156" s="89"/>
      <c r="L156" s="89"/>
      <c r="M156" s="89"/>
      <c r="N156" s="89"/>
      <c r="O156" s="89"/>
      <c r="P156" s="148"/>
    </row>
    <row r="157" spans="1:16">
      <c r="A157" s="147">
        <v>7</v>
      </c>
      <c r="B157" s="64" t="s">
        <v>171</v>
      </c>
      <c r="C157" s="51" t="s">
        <v>180</v>
      </c>
      <c r="D157" s="10" t="s">
        <v>9</v>
      </c>
      <c r="E157" s="71">
        <f>E156</f>
        <v>6.2</v>
      </c>
      <c r="F157" s="82"/>
      <c r="G157" s="65"/>
      <c r="H157" s="82"/>
      <c r="I157" s="82"/>
      <c r="J157" s="82"/>
      <c r="K157" s="82"/>
      <c r="L157" s="82"/>
      <c r="M157" s="82"/>
      <c r="N157" s="82"/>
      <c r="O157" s="82"/>
      <c r="P157" s="148"/>
    </row>
    <row r="158" spans="1:16">
      <c r="A158" s="147">
        <v>8</v>
      </c>
      <c r="B158" s="64" t="s">
        <v>171</v>
      </c>
      <c r="C158" s="98" t="s">
        <v>181</v>
      </c>
      <c r="D158" s="87" t="s">
        <v>9</v>
      </c>
      <c r="E158" s="177">
        <f>E156</f>
        <v>6.2</v>
      </c>
      <c r="F158" s="89"/>
      <c r="G158" s="89"/>
      <c r="H158" s="89"/>
      <c r="I158" s="89"/>
      <c r="J158" s="66"/>
      <c r="K158" s="89"/>
      <c r="L158" s="89"/>
      <c r="M158" s="89"/>
      <c r="N158" s="89"/>
      <c r="O158" s="89"/>
      <c r="P158" s="148"/>
    </row>
    <row r="159" spans="1:16">
      <c r="A159" s="147">
        <v>9</v>
      </c>
      <c r="B159" s="64" t="s">
        <v>171</v>
      </c>
      <c r="C159" s="86" t="s">
        <v>124</v>
      </c>
      <c r="D159" s="87" t="s">
        <v>9</v>
      </c>
      <c r="E159" s="111">
        <f>E156</f>
        <v>6.2</v>
      </c>
      <c r="F159" s="88"/>
      <c r="G159" s="89"/>
      <c r="H159" s="71"/>
      <c r="I159" s="88"/>
      <c r="J159" s="66"/>
      <c r="K159" s="89"/>
      <c r="L159" s="89"/>
      <c r="M159" s="89"/>
      <c r="N159" s="89"/>
      <c r="O159" s="89"/>
      <c r="P159" s="148"/>
    </row>
    <row r="160" spans="1:16">
      <c r="A160" s="147">
        <v>10</v>
      </c>
      <c r="B160" s="64" t="s">
        <v>171</v>
      </c>
      <c r="C160" s="98" t="s">
        <v>178</v>
      </c>
      <c r="D160" s="87" t="s">
        <v>9</v>
      </c>
      <c r="E160" s="177">
        <f>E156</f>
        <v>6.2</v>
      </c>
      <c r="F160" s="89"/>
      <c r="G160" s="89"/>
      <c r="H160" s="89"/>
      <c r="I160" s="89"/>
      <c r="J160" s="66"/>
      <c r="K160" s="89"/>
      <c r="L160" s="89"/>
      <c r="M160" s="89"/>
      <c r="N160" s="89"/>
      <c r="O160" s="89"/>
      <c r="P160" s="148"/>
    </row>
    <row r="161" spans="1:16">
      <c r="A161" s="147">
        <v>11</v>
      </c>
      <c r="B161" s="64" t="s">
        <v>71</v>
      </c>
      <c r="C161" s="83" t="s">
        <v>179</v>
      </c>
      <c r="D161" s="10" t="s">
        <v>9</v>
      </c>
      <c r="E161" s="177">
        <f>E156</f>
        <v>6.2</v>
      </c>
      <c r="F161" s="65"/>
      <c r="G161" s="65"/>
      <c r="H161" s="89"/>
      <c r="I161" s="66"/>
      <c r="J161" s="66"/>
      <c r="K161" s="89"/>
      <c r="L161" s="89"/>
      <c r="M161" s="89"/>
      <c r="N161" s="89"/>
      <c r="O161" s="89"/>
      <c r="P161" s="148"/>
    </row>
    <row r="162" spans="1:16">
      <c r="A162" s="147">
        <v>12</v>
      </c>
      <c r="B162" s="64" t="s">
        <v>171</v>
      </c>
      <c r="C162" s="51" t="s">
        <v>180</v>
      </c>
      <c r="D162" s="10" t="s">
        <v>9</v>
      </c>
      <c r="E162" s="71">
        <f>E156</f>
        <v>6.2</v>
      </c>
      <c r="F162" s="82"/>
      <c r="G162" s="65"/>
      <c r="H162" s="82"/>
      <c r="I162" s="82"/>
      <c r="J162" s="82"/>
      <c r="K162" s="82"/>
      <c r="L162" s="82"/>
      <c r="M162" s="82"/>
      <c r="N162" s="82"/>
      <c r="O162" s="82"/>
      <c r="P162" s="148"/>
    </row>
    <row r="163" spans="1:16">
      <c r="A163" s="147">
        <v>13</v>
      </c>
      <c r="B163" s="64" t="s">
        <v>71</v>
      </c>
      <c r="C163" s="51" t="s">
        <v>175</v>
      </c>
      <c r="D163" s="10" t="s">
        <v>9</v>
      </c>
      <c r="E163" s="71">
        <f>E156</f>
        <v>6.2</v>
      </c>
      <c r="F163" s="71"/>
      <c r="G163" s="70"/>
      <c r="H163" s="81"/>
      <c r="I163" s="71"/>
      <c r="J163" s="66"/>
      <c r="K163" s="82"/>
      <c r="L163" s="82"/>
      <c r="M163" s="82"/>
      <c r="N163" s="82"/>
      <c r="O163" s="82"/>
      <c r="P163" s="148"/>
    </row>
    <row r="164" spans="1:16">
      <c r="A164" s="117">
        <v>14</v>
      </c>
      <c r="B164" s="62" t="s">
        <v>105</v>
      </c>
      <c r="C164" s="118" t="s">
        <v>133</v>
      </c>
      <c r="D164" s="10" t="s">
        <v>9</v>
      </c>
      <c r="E164" s="111">
        <f>E163</f>
        <v>6.2</v>
      </c>
      <c r="F164" s="71"/>
      <c r="G164" s="82"/>
      <c r="H164" s="71"/>
      <c r="I164" s="70"/>
      <c r="J164" s="71"/>
      <c r="K164" s="70"/>
      <c r="L164" s="70"/>
      <c r="M164" s="70"/>
      <c r="N164" s="70"/>
      <c r="O164" s="70"/>
      <c r="P164" s="119"/>
    </row>
    <row r="165" spans="1:16">
      <c r="A165" s="117">
        <v>15</v>
      </c>
      <c r="B165" s="62" t="s">
        <v>105</v>
      </c>
      <c r="C165" s="118" t="s">
        <v>134</v>
      </c>
      <c r="D165" s="10" t="s">
        <v>9</v>
      </c>
      <c r="E165" s="111">
        <f>E163</f>
        <v>6.2</v>
      </c>
      <c r="F165" s="71"/>
      <c r="G165" s="82"/>
      <c r="H165" s="71"/>
      <c r="I165" s="70"/>
      <c r="J165" s="71"/>
      <c r="K165" s="70"/>
      <c r="L165" s="70"/>
      <c r="M165" s="70"/>
      <c r="N165" s="70"/>
      <c r="O165" s="70"/>
      <c r="P165" s="119"/>
    </row>
    <row r="166" spans="1:16">
      <c r="A166" s="117">
        <v>16</v>
      </c>
      <c r="B166" s="62" t="s">
        <v>105</v>
      </c>
      <c r="C166" s="118" t="s">
        <v>135</v>
      </c>
      <c r="D166" s="10" t="s">
        <v>9</v>
      </c>
      <c r="E166" s="111">
        <f>E163</f>
        <v>6.2</v>
      </c>
      <c r="F166" s="71"/>
      <c r="G166" s="82"/>
      <c r="H166" s="71"/>
      <c r="I166" s="70"/>
      <c r="J166" s="71"/>
      <c r="K166" s="70"/>
      <c r="L166" s="70"/>
      <c r="M166" s="70"/>
      <c r="N166" s="70"/>
      <c r="O166" s="70"/>
      <c r="P166" s="119"/>
    </row>
    <row r="167" spans="1:16">
      <c r="A167" s="117">
        <v>52</v>
      </c>
      <c r="B167" s="62" t="s">
        <v>105</v>
      </c>
      <c r="C167" s="118" t="s">
        <v>111</v>
      </c>
      <c r="D167" s="10" t="s">
        <v>9</v>
      </c>
      <c r="E167" s="111">
        <f>6.2*2.67-2.1</f>
        <v>14.45</v>
      </c>
      <c r="F167" s="71"/>
      <c r="G167" s="82"/>
      <c r="H167" s="71"/>
      <c r="I167" s="70"/>
      <c r="J167" s="71"/>
      <c r="K167" s="70"/>
      <c r="L167" s="70"/>
      <c r="M167" s="70"/>
      <c r="N167" s="70"/>
      <c r="O167" s="70"/>
      <c r="P167" s="119"/>
    </row>
    <row r="168" spans="1:16">
      <c r="A168" s="147">
        <v>214</v>
      </c>
      <c r="B168" s="64" t="s">
        <v>67</v>
      </c>
      <c r="C168" s="51" t="s">
        <v>194</v>
      </c>
      <c r="D168" s="10" t="s">
        <v>9</v>
      </c>
      <c r="E168" s="111">
        <f>(3.2+1.99+1.99+3.2+4)*2.67-2.1</f>
        <v>36.29</v>
      </c>
      <c r="F168" s="70"/>
      <c r="G168" s="70"/>
      <c r="H168" s="66"/>
      <c r="I168" s="66"/>
      <c r="J168" s="66"/>
      <c r="K168" s="71"/>
      <c r="L168" s="71"/>
      <c r="M168" s="71"/>
      <c r="N168" s="71"/>
      <c r="O168" s="71"/>
      <c r="P168" s="162"/>
    </row>
    <row r="169" spans="1:16">
      <c r="A169" s="117">
        <v>53</v>
      </c>
      <c r="B169" s="62" t="s">
        <v>105</v>
      </c>
      <c r="C169" s="118" t="s">
        <v>193</v>
      </c>
      <c r="D169" s="10" t="s">
        <v>9</v>
      </c>
      <c r="E169" s="111">
        <f>E168</f>
        <v>36.29</v>
      </c>
      <c r="F169" s="71"/>
      <c r="G169" s="82"/>
      <c r="H169" s="71"/>
      <c r="I169" s="66"/>
      <c r="J169" s="71"/>
      <c r="K169" s="70"/>
      <c r="L169" s="70"/>
      <c r="M169" s="70"/>
      <c r="N169" s="70"/>
      <c r="O169" s="70"/>
      <c r="P169" s="119"/>
    </row>
    <row r="170" spans="1:16">
      <c r="A170" s="147">
        <v>214</v>
      </c>
      <c r="B170" s="64" t="s">
        <v>67</v>
      </c>
      <c r="C170" s="51" t="s">
        <v>188</v>
      </c>
      <c r="D170" s="10" t="s">
        <v>9</v>
      </c>
      <c r="E170" s="111">
        <f>E156</f>
        <v>6.2</v>
      </c>
      <c r="F170" s="70"/>
      <c r="G170" s="70"/>
      <c r="H170" s="66"/>
      <c r="I170" s="66"/>
      <c r="J170" s="66"/>
      <c r="K170" s="71"/>
      <c r="L170" s="71"/>
      <c r="M170" s="71"/>
      <c r="N170" s="71"/>
      <c r="O170" s="71"/>
      <c r="P170" s="162"/>
    </row>
    <row r="171" spans="1:16">
      <c r="A171" s="147">
        <v>213</v>
      </c>
      <c r="B171" s="64" t="s">
        <v>67</v>
      </c>
      <c r="C171" s="51" t="s">
        <v>182</v>
      </c>
      <c r="D171" s="10" t="s">
        <v>9</v>
      </c>
      <c r="E171" s="111">
        <f>E170</f>
        <v>6.2</v>
      </c>
      <c r="F171" s="70"/>
      <c r="G171" s="70"/>
      <c r="H171" s="66"/>
      <c r="I171" s="66"/>
      <c r="J171" s="66"/>
      <c r="K171" s="71"/>
      <c r="L171" s="71"/>
      <c r="M171" s="71"/>
      <c r="N171" s="71"/>
      <c r="O171" s="71"/>
      <c r="P171" s="162"/>
    </row>
    <row r="172" spans="1:16">
      <c r="A172" s="147">
        <v>214</v>
      </c>
      <c r="B172" s="64" t="s">
        <v>67</v>
      </c>
      <c r="C172" s="51" t="s">
        <v>190</v>
      </c>
      <c r="D172" s="10" t="s">
        <v>9</v>
      </c>
      <c r="E172" s="111">
        <f>E170</f>
        <v>6.2</v>
      </c>
      <c r="F172" s="70"/>
      <c r="G172" s="70"/>
      <c r="H172" s="66"/>
      <c r="I172" s="66"/>
      <c r="J172" s="66"/>
      <c r="K172" s="71"/>
      <c r="L172" s="71"/>
      <c r="M172" s="71"/>
      <c r="N172" s="71"/>
      <c r="O172" s="71"/>
      <c r="P172" s="162"/>
    </row>
    <row r="173" spans="1:16">
      <c r="A173" s="147">
        <v>213</v>
      </c>
      <c r="B173" s="64" t="s">
        <v>67</v>
      </c>
      <c r="C173" s="51" t="s">
        <v>191</v>
      </c>
      <c r="D173" s="10" t="s">
        <v>9</v>
      </c>
      <c r="E173" s="111">
        <f>E170</f>
        <v>6.2</v>
      </c>
      <c r="F173" s="70"/>
      <c r="G173" s="70"/>
      <c r="H173" s="66"/>
      <c r="I173" s="66"/>
      <c r="J173" s="66"/>
      <c r="K173" s="71"/>
      <c r="L173" s="71"/>
      <c r="M173" s="71"/>
      <c r="N173" s="71"/>
      <c r="O173" s="71"/>
      <c r="P173" s="162"/>
    </row>
    <row r="174" spans="1:16">
      <c r="A174" s="147"/>
      <c r="B174" s="10"/>
      <c r="C174" s="68" t="s">
        <v>157</v>
      </c>
      <c r="D174" s="10"/>
      <c r="E174" s="74"/>
      <c r="F174" s="69"/>
      <c r="G174" s="82"/>
      <c r="H174" s="69"/>
      <c r="I174" s="69"/>
      <c r="J174" s="69"/>
      <c r="K174" s="69"/>
      <c r="L174" s="69"/>
      <c r="M174" s="69"/>
      <c r="N174" s="69"/>
      <c r="O174" s="69"/>
      <c r="P174" s="163"/>
    </row>
    <row r="175" spans="1:16">
      <c r="A175" s="147">
        <v>6</v>
      </c>
      <c r="B175" s="64" t="s">
        <v>71</v>
      </c>
      <c r="C175" s="83" t="s">
        <v>183</v>
      </c>
      <c r="D175" s="10" t="s">
        <v>9</v>
      </c>
      <c r="E175" s="177">
        <v>22.7</v>
      </c>
      <c r="F175" s="65"/>
      <c r="G175" s="65"/>
      <c r="H175" s="89"/>
      <c r="I175" s="66"/>
      <c r="J175" s="66"/>
      <c r="K175" s="89"/>
      <c r="L175" s="89"/>
      <c r="M175" s="89"/>
      <c r="N175" s="89"/>
      <c r="O175" s="89"/>
      <c r="P175" s="148"/>
    </row>
    <row r="176" spans="1:16">
      <c r="A176" s="147">
        <v>7</v>
      </c>
      <c r="B176" s="64" t="s">
        <v>171</v>
      </c>
      <c r="C176" s="51" t="s">
        <v>180</v>
      </c>
      <c r="D176" s="10" t="s">
        <v>9</v>
      </c>
      <c r="E176" s="71">
        <f>E175</f>
        <v>22.7</v>
      </c>
      <c r="F176" s="82"/>
      <c r="G176" s="65"/>
      <c r="H176" s="82"/>
      <c r="I176" s="82"/>
      <c r="J176" s="82"/>
      <c r="K176" s="82"/>
      <c r="L176" s="82"/>
      <c r="M176" s="82"/>
      <c r="N176" s="82"/>
      <c r="O176" s="82"/>
      <c r="P176" s="148"/>
    </row>
    <row r="177" spans="1:16">
      <c r="A177" s="147">
        <v>8</v>
      </c>
      <c r="B177" s="64" t="s">
        <v>171</v>
      </c>
      <c r="C177" s="98" t="s">
        <v>181</v>
      </c>
      <c r="D177" s="87" t="s">
        <v>9</v>
      </c>
      <c r="E177" s="177">
        <f>E175</f>
        <v>22.7</v>
      </c>
      <c r="F177" s="89"/>
      <c r="G177" s="89"/>
      <c r="H177" s="89"/>
      <c r="I177" s="89"/>
      <c r="J177" s="66"/>
      <c r="K177" s="89"/>
      <c r="L177" s="89"/>
      <c r="M177" s="89"/>
      <c r="N177" s="89"/>
      <c r="O177" s="89"/>
      <c r="P177" s="148"/>
    </row>
    <row r="178" spans="1:16">
      <c r="A178" s="147">
        <v>9</v>
      </c>
      <c r="B178" s="64" t="s">
        <v>171</v>
      </c>
      <c r="C178" s="86" t="s">
        <v>124</v>
      </c>
      <c r="D178" s="87" t="s">
        <v>9</v>
      </c>
      <c r="E178" s="111">
        <f>E175</f>
        <v>22.7</v>
      </c>
      <c r="F178" s="88"/>
      <c r="G178" s="89"/>
      <c r="H178" s="71"/>
      <c r="I178" s="88"/>
      <c r="J178" s="66"/>
      <c r="K178" s="89"/>
      <c r="L178" s="89"/>
      <c r="M178" s="89"/>
      <c r="N178" s="89"/>
      <c r="O178" s="89"/>
      <c r="P178" s="148"/>
    </row>
    <row r="179" spans="1:16">
      <c r="A179" s="147">
        <v>10</v>
      </c>
      <c r="B179" s="64" t="s">
        <v>171</v>
      </c>
      <c r="C179" s="98" t="s">
        <v>178</v>
      </c>
      <c r="D179" s="87" t="s">
        <v>9</v>
      </c>
      <c r="E179" s="177">
        <f>E175</f>
        <v>22.7</v>
      </c>
      <c r="F179" s="89"/>
      <c r="G179" s="89"/>
      <c r="H179" s="89"/>
      <c r="I179" s="89"/>
      <c r="J179" s="66"/>
      <c r="K179" s="89"/>
      <c r="L179" s="89"/>
      <c r="M179" s="89"/>
      <c r="N179" s="89"/>
      <c r="O179" s="89"/>
      <c r="P179" s="148"/>
    </row>
    <row r="180" spans="1:16">
      <c r="A180" s="147">
        <v>11</v>
      </c>
      <c r="B180" s="64" t="s">
        <v>71</v>
      </c>
      <c r="C180" s="83" t="s">
        <v>179</v>
      </c>
      <c r="D180" s="10" t="s">
        <v>9</v>
      </c>
      <c r="E180" s="177">
        <f>E175</f>
        <v>22.7</v>
      </c>
      <c r="F180" s="65"/>
      <c r="G180" s="65"/>
      <c r="H180" s="89"/>
      <c r="I180" s="66"/>
      <c r="J180" s="66"/>
      <c r="K180" s="89"/>
      <c r="L180" s="89"/>
      <c r="M180" s="89"/>
      <c r="N180" s="89"/>
      <c r="O180" s="89"/>
      <c r="P180" s="148"/>
    </row>
    <row r="181" spans="1:16">
      <c r="A181" s="147">
        <v>12</v>
      </c>
      <c r="B181" s="64" t="s">
        <v>171</v>
      </c>
      <c r="C181" s="51" t="s">
        <v>180</v>
      </c>
      <c r="D181" s="10" t="s">
        <v>9</v>
      </c>
      <c r="E181" s="71">
        <f>E175</f>
        <v>22.7</v>
      </c>
      <c r="F181" s="82"/>
      <c r="G181" s="65"/>
      <c r="H181" s="82"/>
      <c r="I181" s="82"/>
      <c r="J181" s="82"/>
      <c r="K181" s="82"/>
      <c r="L181" s="82"/>
      <c r="M181" s="82"/>
      <c r="N181" s="82"/>
      <c r="O181" s="82"/>
      <c r="P181" s="148"/>
    </row>
    <row r="182" spans="1:16">
      <c r="A182" s="147">
        <v>13</v>
      </c>
      <c r="B182" s="64" t="s">
        <v>71</v>
      </c>
      <c r="C182" s="51" t="s">
        <v>175</v>
      </c>
      <c r="D182" s="10" t="s">
        <v>9</v>
      </c>
      <c r="E182" s="71">
        <f>E175</f>
        <v>22.7</v>
      </c>
      <c r="F182" s="71"/>
      <c r="G182" s="70"/>
      <c r="H182" s="81"/>
      <c r="I182" s="71"/>
      <c r="J182" s="66"/>
      <c r="K182" s="82"/>
      <c r="L182" s="82"/>
      <c r="M182" s="82"/>
      <c r="N182" s="82"/>
      <c r="O182" s="82"/>
      <c r="P182" s="148"/>
    </row>
    <row r="183" spans="1:16">
      <c r="A183" s="117">
        <v>14</v>
      </c>
      <c r="B183" s="62" t="s">
        <v>105</v>
      </c>
      <c r="C183" s="118" t="s">
        <v>133</v>
      </c>
      <c r="D183" s="10" t="s">
        <v>9</v>
      </c>
      <c r="E183" s="111">
        <f>E182</f>
        <v>22.7</v>
      </c>
      <c r="F183" s="71"/>
      <c r="G183" s="82"/>
      <c r="H183" s="71"/>
      <c r="I183" s="70"/>
      <c r="J183" s="71"/>
      <c r="K183" s="70"/>
      <c r="L183" s="70"/>
      <c r="M183" s="70"/>
      <c r="N183" s="70"/>
      <c r="O183" s="70"/>
      <c r="P183" s="119"/>
    </row>
    <row r="184" spans="1:16">
      <c r="A184" s="117">
        <v>15</v>
      </c>
      <c r="B184" s="62" t="s">
        <v>105</v>
      </c>
      <c r="C184" s="118" t="s">
        <v>134</v>
      </c>
      <c r="D184" s="10" t="s">
        <v>9</v>
      </c>
      <c r="E184" s="111">
        <f>E182</f>
        <v>22.7</v>
      </c>
      <c r="F184" s="71"/>
      <c r="G184" s="82"/>
      <c r="H184" s="71"/>
      <c r="I184" s="70"/>
      <c r="J184" s="71"/>
      <c r="K184" s="70"/>
      <c r="L184" s="70"/>
      <c r="M184" s="70"/>
      <c r="N184" s="70"/>
      <c r="O184" s="70"/>
      <c r="P184" s="119"/>
    </row>
    <row r="185" spans="1:16">
      <c r="A185" s="117">
        <v>16</v>
      </c>
      <c r="B185" s="62" t="s">
        <v>105</v>
      </c>
      <c r="C185" s="118" t="s">
        <v>135</v>
      </c>
      <c r="D185" s="10" t="s">
        <v>9</v>
      </c>
      <c r="E185" s="111">
        <f>E182</f>
        <v>22.7</v>
      </c>
      <c r="F185" s="71"/>
      <c r="G185" s="82"/>
      <c r="H185" s="71"/>
      <c r="I185" s="70"/>
      <c r="J185" s="71"/>
      <c r="K185" s="70"/>
      <c r="L185" s="70"/>
      <c r="M185" s="70"/>
      <c r="N185" s="70"/>
      <c r="O185" s="70"/>
      <c r="P185" s="119"/>
    </row>
    <row r="186" spans="1:16">
      <c r="A186" s="117">
        <v>51</v>
      </c>
      <c r="B186" s="62" t="s">
        <v>105</v>
      </c>
      <c r="C186" s="118" t="s">
        <v>110</v>
      </c>
      <c r="D186" s="10" t="s">
        <v>9</v>
      </c>
      <c r="E186" s="111">
        <f>2.67*(17.44*2+2.6)-6.3</f>
        <v>93.77</v>
      </c>
      <c r="F186" s="71"/>
      <c r="G186" s="82"/>
      <c r="H186" s="71"/>
      <c r="I186" s="70"/>
      <c r="J186" s="71"/>
      <c r="K186" s="70"/>
      <c r="L186" s="70"/>
      <c r="M186" s="70"/>
      <c r="N186" s="70"/>
      <c r="O186" s="70"/>
      <c r="P186" s="119"/>
    </row>
    <row r="187" spans="1:16">
      <c r="A187" s="117">
        <v>52</v>
      </c>
      <c r="B187" s="62" t="s">
        <v>105</v>
      </c>
      <c r="C187" s="118" t="s">
        <v>111</v>
      </c>
      <c r="D187" s="10" t="s">
        <v>9</v>
      </c>
      <c r="E187" s="111">
        <f>E186</f>
        <v>93.77</v>
      </c>
      <c r="F187" s="71"/>
      <c r="G187" s="82"/>
      <c r="H187" s="71"/>
      <c r="I187" s="70"/>
      <c r="J187" s="71"/>
      <c r="K187" s="70"/>
      <c r="L187" s="70"/>
      <c r="M187" s="70"/>
      <c r="N187" s="70"/>
      <c r="O187" s="70"/>
      <c r="P187" s="119"/>
    </row>
    <row r="188" spans="1:16">
      <c r="A188" s="117">
        <v>53</v>
      </c>
      <c r="B188" s="62" t="s">
        <v>105</v>
      </c>
      <c r="C188" s="118" t="s">
        <v>136</v>
      </c>
      <c r="D188" s="10" t="s">
        <v>9</v>
      </c>
      <c r="E188" s="111">
        <f>E186</f>
        <v>93.77</v>
      </c>
      <c r="F188" s="71"/>
      <c r="G188" s="82"/>
      <c r="H188" s="71"/>
      <c r="I188" s="70"/>
      <c r="J188" s="71"/>
      <c r="K188" s="70"/>
      <c r="L188" s="70"/>
      <c r="M188" s="70"/>
      <c r="N188" s="70"/>
      <c r="O188" s="70"/>
      <c r="P188" s="119"/>
    </row>
    <row r="189" spans="1:16">
      <c r="A189" s="147">
        <v>214</v>
      </c>
      <c r="B189" s="64" t="s">
        <v>67</v>
      </c>
      <c r="C189" s="51" t="s">
        <v>188</v>
      </c>
      <c r="D189" s="10" t="s">
        <v>9</v>
      </c>
      <c r="E189" s="111">
        <f>E175</f>
        <v>22.7</v>
      </c>
      <c r="F189" s="70"/>
      <c r="G189" s="70"/>
      <c r="H189" s="66"/>
      <c r="I189" s="66"/>
      <c r="J189" s="66"/>
      <c r="K189" s="71"/>
      <c r="L189" s="71"/>
      <c r="M189" s="71"/>
      <c r="N189" s="71"/>
      <c r="O189" s="71"/>
      <c r="P189" s="162"/>
    </row>
    <row r="190" spans="1:16">
      <c r="A190" s="147">
        <v>213</v>
      </c>
      <c r="B190" s="64" t="s">
        <v>67</v>
      </c>
      <c r="C190" s="51" t="s">
        <v>182</v>
      </c>
      <c r="D190" s="10" t="s">
        <v>9</v>
      </c>
      <c r="E190" s="111">
        <f>E189</f>
        <v>22.7</v>
      </c>
      <c r="F190" s="70"/>
      <c r="G190" s="70"/>
      <c r="H190" s="66"/>
      <c r="I190" s="66"/>
      <c r="J190" s="66"/>
      <c r="K190" s="71"/>
      <c r="L190" s="71"/>
      <c r="M190" s="71"/>
      <c r="N190" s="71"/>
      <c r="O190" s="71"/>
      <c r="P190" s="162"/>
    </row>
    <row r="191" spans="1:16">
      <c r="A191" s="147">
        <v>214</v>
      </c>
      <c r="B191" s="64" t="s">
        <v>67</v>
      </c>
      <c r="C191" s="51" t="s">
        <v>184</v>
      </c>
      <c r="D191" s="10" t="s">
        <v>9</v>
      </c>
      <c r="E191" s="111">
        <f>E189</f>
        <v>22.7</v>
      </c>
      <c r="F191" s="70"/>
      <c r="G191" s="70"/>
      <c r="H191" s="66"/>
      <c r="I191" s="66"/>
      <c r="J191" s="66"/>
      <c r="K191" s="71"/>
      <c r="L191" s="71"/>
      <c r="M191" s="71"/>
      <c r="N191" s="71"/>
      <c r="O191" s="71"/>
      <c r="P191" s="162"/>
    </row>
    <row r="192" spans="1:16">
      <c r="A192" s="147">
        <v>213</v>
      </c>
      <c r="B192" s="64" t="s">
        <v>67</v>
      </c>
      <c r="C192" s="51" t="s">
        <v>185</v>
      </c>
      <c r="D192" s="10" t="s">
        <v>9</v>
      </c>
      <c r="E192" s="111">
        <f>E189</f>
        <v>22.7</v>
      </c>
      <c r="F192" s="70"/>
      <c r="G192" s="70"/>
      <c r="H192" s="66"/>
      <c r="I192" s="66"/>
      <c r="J192" s="66"/>
      <c r="K192" s="71"/>
      <c r="L192" s="71"/>
      <c r="M192" s="71"/>
      <c r="N192" s="71"/>
      <c r="O192" s="71"/>
      <c r="P192" s="162"/>
    </row>
    <row r="193" spans="1:16">
      <c r="A193" s="147">
        <v>58</v>
      </c>
      <c r="B193" s="62" t="s">
        <v>105</v>
      </c>
      <c r="C193" s="98" t="s">
        <v>189</v>
      </c>
      <c r="D193" s="10" t="s">
        <v>44</v>
      </c>
      <c r="E193" s="167">
        <v>3</v>
      </c>
      <c r="F193" s="66"/>
      <c r="G193" s="82"/>
      <c r="H193" s="71"/>
      <c r="I193" s="66"/>
      <c r="J193" s="66"/>
      <c r="K193" s="82"/>
      <c r="L193" s="82"/>
      <c r="M193" s="82"/>
      <c r="N193" s="82"/>
      <c r="O193" s="82"/>
      <c r="P193" s="148"/>
    </row>
    <row r="194" spans="1:16">
      <c r="A194" s="147"/>
      <c r="B194" s="10"/>
      <c r="C194" s="68" t="s">
        <v>195</v>
      </c>
      <c r="D194" s="10"/>
      <c r="E194" s="74"/>
      <c r="F194" s="69"/>
      <c r="G194" s="82"/>
      <c r="H194" s="69"/>
      <c r="I194" s="69"/>
      <c r="J194" s="69"/>
      <c r="K194" s="69"/>
      <c r="L194" s="69"/>
      <c r="M194" s="69"/>
      <c r="N194" s="69"/>
      <c r="O194" s="69"/>
      <c r="P194" s="163"/>
    </row>
    <row r="195" spans="1:16">
      <c r="A195" s="147">
        <v>6</v>
      </c>
      <c r="B195" s="64" t="s">
        <v>71</v>
      </c>
      <c r="C195" s="83" t="s">
        <v>183</v>
      </c>
      <c r="D195" s="10" t="s">
        <v>9</v>
      </c>
      <c r="E195" s="177">
        <v>14.5</v>
      </c>
      <c r="F195" s="65"/>
      <c r="G195" s="65"/>
      <c r="H195" s="89"/>
      <c r="I195" s="66"/>
      <c r="J195" s="66"/>
      <c r="K195" s="89"/>
      <c r="L195" s="89"/>
      <c r="M195" s="89"/>
      <c r="N195" s="89"/>
      <c r="O195" s="89"/>
      <c r="P195" s="148"/>
    </row>
    <row r="196" spans="1:16">
      <c r="A196" s="147">
        <v>7</v>
      </c>
      <c r="B196" s="64" t="s">
        <v>171</v>
      </c>
      <c r="C196" s="51" t="s">
        <v>180</v>
      </c>
      <c r="D196" s="10" t="s">
        <v>9</v>
      </c>
      <c r="E196" s="71">
        <f>E195</f>
        <v>14.5</v>
      </c>
      <c r="F196" s="82"/>
      <c r="G196" s="65"/>
      <c r="H196" s="82"/>
      <c r="I196" s="82"/>
      <c r="J196" s="82"/>
      <c r="K196" s="82"/>
      <c r="L196" s="82"/>
      <c r="M196" s="82"/>
      <c r="N196" s="82"/>
      <c r="O196" s="82"/>
      <c r="P196" s="148"/>
    </row>
    <row r="197" spans="1:16">
      <c r="A197" s="147">
        <v>8</v>
      </c>
      <c r="B197" s="64" t="s">
        <v>171</v>
      </c>
      <c r="C197" s="98" t="s">
        <v>181</v>
      </c>
      <c r="D197" s="87" t="s">
        <v>9</v>
      </c>
      <c r="E197" s="177">
        <f>E195</f>
        <v>14.5</v>
      </c>
      <c r="F197" s="89"/>
      <c r="G197" s="89"/>
      <c r="H197" s="89"/>
      <c r="I197" s="89"/>
      <c r="J197" s="66"/>
      <c r="K197" s="89"/>
      <c r="L197" s="89"/>
      <c r="M197" s="89"/>
      <c r="N197" s="89"/>
      <c r="O197" s="89"/>
      <c r="P197" s="148"/>
    </row>
    <row r="198" spans="1:16">
      <c r="A198" s="147">
        <v>9</v>
      </c>
      <c r="B198" s="64" t="s">
        <v>171</v>
      </c>
      <c r="C198" s="86" t="s">
        <v>124</v>
      </c>
      <c r="D198" s="87" t="s">
        <v>9</v>
      </c>
      <c r="E198" s="111">
        <f>E195</f>
        <v>14.5</v>
      </c>
      <c r="F198" s="88"/>
      <c r="G198" s="89"/>
      <c r="H198" s="71"/>
      <c r="I198" s="88"/>
      <c r="J198" s="66"/>
      <c r="K198" s="89"/>
      <c r="L198" s="89"/>
      <c r="M198" s="89"/>
      <c r="N198" s="89"/>
      <c r="O198" s="89"/>
      <c r="P198" s="148"/>
    </row>
    <row r="199" spans="1:16">
      <c r="A199" s="147">
        <v>10</v>
      </c>
      <c r="B199" s="64" t="s">
        <v>171</v>
      </c>
      <c r="C199" s="98" t="s">
        <v>178</v>
      </c>
      <c r="D199" s="87" t="s">
        <v>9</v>
      </c>
      <c r="E199" s="177">
        <f>E195</f>
        <v>14.5</v>
      </c>
      <c r="F199" s="89"/>
      <c r="G199" s="89"/>
      <c r="H199" s="89"/>
      <c r="I199" s="89"/>
      <c r="J199" s="66"/>
      <c r="K199" s="89"/>
      <c r="L199" s="89"/>
      <c r="M199" s="89"/>
      <c r="N199" s="89"/>
      <c r="O199" s="89"/>
      <c r="P199" s="148"/>
    </row>
    <row r="200" spans="1:16">
      <c r="A200" s="147">
        <v>11</v>
      </c>
      <c r="B200" s="64" t="s">
        <v>71</v>
      </c>
      <c r="C200" s="83" t="s">
        <v>179</v>
      </c>
      <c r="D200" s="10" t="s">
        <v>9</v>
      </c>
      <c r="E200" s="177">
        <f>E195</f>
        <v>14.5</v>
      </c>
      <c r="F200" s="65"/>
      <c r="G200" s="65"/>
      <c r="H200" s="89"/>
      <c r="I200" s="66"/>
      <c r="J200" s="66"/>
      <c r="K200" s="89"/>
      <c r="L200" s="89"/>
      <c r="M200" s="89"/>
      <c r="N200" s="89"/>
      <c r="O200" s="89"/>
      <c r="P200" s="148"/>
    </row>
    <row r="201" spans="1:16">
      <c r="A201" s="147">
        <v>12</v>
      </c>
      <c r="B201" s="64" t="s">
        <v>171</v>
      </c>
      <c r="C201" s="51" t="s">
        <v>180</v>
      </c>
      <c r="D201" s="10" t="s">
        <v>9</v>
      </c>
      <c r="E201" s="71">
        <f>E195</f>
        <v>14.5</v>
      </c>
      <c r="F201" s="82"/>
      <c r="G201" s="65"/>
      <c r="H201" s="82"/>
      <c r="I201" s="82"/>
      <c r="J201" s="82"/>
      <c r="K201" s="82"/>
      <c r="L201" s="82"/>
      <c r="M201" s="82"/>
      <c r="N201" s="82"/>
      <c r="O201" s="82"/>
      <c r="P201" s="148"/>
    </row>
    <row r="202" spans="1:16">
      <c r="A202" s="147">
        <v>13</v>
      </c>
      <c r="B202" s="64" t="s">
        <v>71</v>
      </c>
      <c r="C202" s="51" t="s">
        <v>175</v>
      </c>
      <c r="D202" s="10" t="s">
        <v>9</v>
      </c>
      <c r="E202" s="71">
        <f>E195</f>
        <v>14.5</v>
      </c>
      <c r="F202" s="71"/>
      <c r="G202" s="70"/>
      <c r="H202" s="81"/>
      <c r="I202" s="71"/>
      <c r="J202" s="66"/>
      <c r="K202" s="82"/>
      <c r="L202" s="82"/>
      <c r="M202" s="82"/>
      <c r="N202" s="82"/>
      <c r="O202" s="82"/>
      <c r="P202" s="148"/>
    </row>
    <row r="203" spans="1:16">
      <c r="A203" s="117">
        <v>14</v>
      </c>
      <c r="B203" s="62" t="s">
        <v>105</v>
      </c>
      <c r="C203" s="118" t="s">
        <v>133</v>
      </c>
      <c r="D203" s="10" t="s">
        <v>9</v>
      </c>
      <c r="E203" s="111">
        <f>E202</f>
        <v>14.5</v>
      </c>
      <c r="F203" s="71"/>
      <c r="G203" s="82"/>
      <c r="H203" s="71"/>
      <c r="I203" s="70"/>
      <c r="J203" s="71"/>
      <c r="K203" s="70"/>
      <c r="L203" s="70"/>
      <c r="M203" s="70"/>
      <c r="N203" s="70"/>
      <c r="O203" s="70"/>
      <c r="P203" s="119"/>
    </row>
    <row r="204" spans="1:16">
      <c r="A204" s="117">
        <v>15</v>
      </c>
      <c r="B204" s="62" t="s">
        <v>105</v>
      </c>
      <c r="C204" s="118" t="s">
        <v>134</v>
      </c>
      <c r="D204" s="10" t="s">
        <v>9</v>
      </c>
      <c r="E204" s="111">
        <f>E202</f>
        <v>14.5</v>
      </c>
      <c r="F204" s="71"/>
      <c r="G204" s="82"/>
      <c r="H204" s="71"/>
      <c r="I204" s="70"/>
      <c r="J204" s="71"/>
      <c r="K204" s="70"/>
      <c r="L204" s="70"/>
      <c r="M204" s="70"/>
      <c r="N204" s="70"/>
      <c r="O204" s="70"/>
      <c r="P204" s="119"/>
    </row>
    <row r="205" spans="1:16">
      <c r="A205" s="117">
        <v>16</v>
      </c>
      <c r="B205" s="62" t="s">
        <v>105</v>
      </c>
      <c r="C205" s="118" t="s">
        <v>135</v>
      </c>
      <c r="D205" s="10" t="s">
        <v>9</v>
      </c>
      <c r="E205" s="111">
        <f>E202</f>
        <v>14.5</v>
      </c>
      <c r="F205" s="71"/>
      <c r="G205" s="82"/>
      <c r="H205" s="71"/>
      <c r="I205" s="70"/>
      <c r="J205" s="71"/>
      <c r="K205" s="70"/>
      <c r="L205" s="70"/>
      <c r="M205" s="70"/>
      <c r="N205" s="70"/>
      <c r="O205" s="70"/>
      <c r="P205" s="119"/>
    </row>
    <row r="206" spans="1:16">
      <c r="A206" s="117">
        <v>51</v>
      </c>
      <c r="B206" s="62" t="s">
        <v>105</v>
      </c>
      <c r="C206" s="118" t="s">
        <v>110</v>
      </c>
      <c r="D206" s="10" t="s">
        <v>9</v>
      </c>
      <c r="E206" s="111">
        <f>2.67*(17.44*2+2.6)-6.3</f>
        <v>93.77</v>
      </c>
      <c r="F206" s="71"/>
      <c r="G206" s="82"/>
      <c r="H206" s="71"/>
      <c r="I206" s="70"/>
      <c r="J206" s="71"/>
      <c r="K206" s="70"/>
      <c r="L206" s="70"/>
      <c r="M206" s="70"/>
      <c r="N206" s="70"/>
      <c r="O206" s="70"/>
      <c r="P206" s="119"/>
    </row>
    <row r="207" spans="1:16">
      <c r="A207" s="117">
        <v>52</v>
      </c>
      <c r="B207" s="62" t="s">
        <v>105</v>
      </c>
      <c r="C207" s="118" t="s">
        <v>111</v>
      </c>
      <c r="D207" s="10" t="s">
        <v>9</v>
      </c>
      <c r="E207" s="111">
        <f>E206</f>
        <v>93.77</v>
      </c>
      <c r="F207" s="71"/>
      <c r="G207" s="82"/>
      <c r="H207" s="71"/>
      <c r="I207" s="70"/>
      <c r="J207" s="71"/>
      <c r="K207" s="70"/>
      <c r="L207" s="70"/>
      <c r="M207" s="70"/>
      <c r="N207" s="70"/>
      <c r="O207" s="70"/>
      <c r="P207" s="119"/>
    </row>
    <row r="208" spans="1:16">
      <c r="A208" s="117">
        <v>53</v>
      </c>
      <c r="B208" s="62" t="s">
        <v>105</v>
      </c>
      <c r="C208" s="118" t="s">
        <v>136</v>
      </c>
      <c r="D208" s="10" t="s">
        <v>9</v>
      </c>
      <c r="E208" s="111">
        <f>E206</f>
        <v>93.77</v>
      </c>
      <c r="F208" s="71"/>
      <c r="G208" s="82"/>
      <c r="H208" s="71"/>
      <c r="I208" s="70"/>
      <c r="J208" s="71"/>
      <c r="K208" s="70"/>
      <c r="L208" s="70"/>
      <c r="M208" s="70"/>
      <c r="N208" s="70"/>
      <c r="O208" s="70"/>
      <c r="P208" s="119"/>
    </row>
    <row r="209" spans="1:16">
      <c r="A209" s="147">
        <v>214</v>
      </c>
      <c r="B209" s="64" t="s">
        <v>67</v>
      </c>
      <c r="C209" s="51" t="s">
        <v>188</v>
      </c>
      <c r="D209" s="10" t="s">
        <v>9</v>
      </c>
      <c r="E209" s="111">
        <f>1.4*3.5</f>
        <v>4.9000000000000004</v>
      </c>
      <c r="F209" s="70"/>
      <c r="G209" s="70"/>
      <c r="H209" s="66"/>
      <c r="I209" s="66"/>
      <c r="J209" s="66"/>
      <c r="K209" s="71"/>
      <c r="L209" s="71"/>
      <c r="M209" s="71"/>
      <c r="N209" s="71"/>
      <c r="O209" s="71"/>
      <c r="P209" s="162"/>
    </row>
    <row r="210" spans="1:16">
      <c r="A210" s="147">
        <v>213</v>
      </c>
      <c r="B210" s="64" t="s">
        <v>67</v>
      </c>
      <c r="C210" s="51" t="s">
        <v>182</v>
      </c>
      <c r="D210" s="10" t="s">
        <v>9</v>
      </c>
      <c r="E210" s="111">
        <f>E209</f>
        <v>4.9000000000000004</v>
      </c>
      <c r="F210" s="70"/>
      <c r="G210" s="70"/>
      <c r="H210" s="66"/>
      <c r="I210" s="66"/>
      <c r="J210" s="66"/>
      <c r="K210" s="71"/>
      <c r="L210" s="71"/>
      <c r="M210" s="71"/>
      <c r="N210" s="71"/>
      <c r="O210" s="71"/>
      <c r="P210" s="162"/>
    </row>
    <row r="211" spans="1:16">
      <c r="A211" s="147">
        <v>214</v>
      </c>
      <c r="B211" s="64" t="s">
        <v>67</v>
      </c>
      <c r="C211" s="51" t="s">
        <v>184</v>
      </c>
      <c r="D211" s="10" t="s">
        <v>9</v>
      </c>
      <c r="E211" s="111">
        <f>E209</f>
        <v>4.9000000000000004</v>
      </c>
      <c r="F211" s="70"/>
      <c r="G211" s="70"/>
      <c r="H211" s="66"/>
      <c r="I211" s="66"/>
      <c r="J211" s="66"/>
      <c r="K211" s="71"/>
      <c r="L211" s="71"/>
      <c r="M211" s="71"/>
      <c r="N211" s="71"/>
      <c r="O211" s="71"/>
      <c r="P211" s="162"/>
    </row>
    <row r="212" spans="1:16">
      <c r="A212" s="147">
        <v>213</v>
      </c>
      <c r="B212" s="64" t="s">
        <v>67</v>
      </c>
      <c r="C212" s="51" t="s">
        <v>185</v>
      </c>
      <c r="D212" s="10" t="s">
        <v>9</v>
      </c>
      <c r="E212" s="111">
        <f>E209</f>
        <v>4.9000000000000004</v>
      </c>
      <c r="F212" s="70"/>
      <c r="G212" s="70"/>
      <c r="H212" s="66"/>
      <c r="I212" s="66"/>
      <c r="J212" s="66"/>
      <c r="K212" s="71"/>
      <c r="L212" s="71"/>
      <c r="M212" s="71"/>
      <c r="N212" s="71"/>
      <c r="O212" s="71"/>
      <c r="P212" s="162"/>
    </row>
    <row r="213" spans="1:16">
      <c r="A213" s="147">
        <v>58</v>
      </c>
      <c r="B213" s="62" t="s">
        <v>105</v>
      </c>
      <c r="C213" s="98" t="s">
        <v>189</v>
      </c>
      <c r="D213" s="10" t="s">
        <v>44</v>
      </c>
      <c r="E213" s="291">
        <v>2</v>
      </c>
      <c r="F213" s="66"/>
      <c r="G213" s="82"/>
      <c r="H213" s="71"/>
      <c r="I213" s="66"/>
      <c r="J213" s="66"/>
      <c r="K213" s="82"/>
      <c r="L213" s="82"/>
      <c r="M213" s="82"/>
      <c r="N213" s="82"/>
      <c r="O213" s="82"/>
      <c r="P213" s="148"/>
    </row>
    <row r="214" spans="1:16" ht="15" thickBot="1">
      <c r="A214" s="126"/>
      <c r="B214" s="127"/>
      <c r="C214" s="414" t="s">
        <v>97</v>
      </c>
      <c r="D214" s="415"/>
      <c r="E214" s="415"/>
      <c r="F214" s="415"/>
      <c r="G214" s="415"/>
      <c r="H214" s="415"/>
      <c r="I214" s="415"/>
      <c r="J214" s="415"/>
      <c r="K214" s="416"/>
      <c r="L214" s="153">
        <f>SUM(L12:L213)</f>
        <v>0</v>
      </c>
      <c r="M214" s="153">
        <f>SUM(M12:M213)</f>
        <v>0</v>
      </c>
      <c r="N214" s="153">
        <f>SUM(N12:N213)</f>
        <v>0</v>
      </c>
      <c r="O214" s="153">
        <f>SUM(O12:O213)</f>
        <v>0</v>
      </c>
      <c r="P214" s="154">
        <f>SUM(P12:P213)</f>
        <v>0</v>
      </c>
    </row>
    <row r="215" spans="1:16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</row>
    <row r="216" spans="1: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</row>
    <row r="219" spans="1:16">
      <c r="A219" s="6"/>
      <c r="B219" s="6"/>
      <c r="C219" s="5" t="s">
        <v>21</v>
      </c>
      <c r="D219" s="391"/>
      <c r="E219" s="391"/>
      <c r="F219" s="391"/>
      <c r="G219" s="391"/>
      <c r="H219" s="391"/>
      <c r="I219" s="391"/>
      <c r="J219" s="391"/>
      <c r="K219" s="391"/>
      <c r="L219" s="391"/>
      <c r="M219" s="391"/>
      <c r="N219" s="391"/>
      <c r="O219" s="391"/>
      <c r="P219" s="4"/>
    </row>
    <row r="220" spans="1:16">
      <c r="A220" s="5"/>
      <c r="B220" s="5"/>
      <c r="C220" s="3"/>
      <c r="D220" s="392" t="s">
        <v>22</v>
      </c>
      <c r="E220" s="392"/>
      <c r="F220" s="392"/>
      <c r="G220" s="392"/>
      <c r="H220" s="392"/>
      <c r="I220" s="392"/>
      <c r="J220" s="392"/>
      <c r="K220" s="392"/>
      <c r="L220" s="392"/>
      <c r="M220" s="392"/>
      <c r="N220" s="392"/>
      <c r="O220" s="392"/>
      <c r="P220" s="4"/>
    </row>
    <row r="221" spans="1:16">
      <c r="A221" s="3"/>
      <c r="B221" s="3"/>
      <c r="C221" s="5" t="s">
        <v>23</v>
      </c>
      <c r="D221" s="354"/>
      <c r="E221" s="354"/>
      <c r="F221" s="354"/>
      <c r="G221" s="3"/>
      <c r="H221" s="3"/>
      <c r="I221" s="3"/>
      <c r="J221" s="3"/>
      <c r="K221" s="3"/>
      <c r="L221" s="3"/>
      <c r="M221" s="3"/>
      <c r="N221" s="3"/>
      <c r="O221" s="3"/>
      <c r="P221" s="4"/>
    </row>
    <row r="222" spans="1:16">
      <c r="A222" s="3"/>
      <c r="B222" s="3"/>
      <c r="C222" s="5"/>
      <c r="D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4"/>
    </row>
  </sheetData>
  <mergeCells count="22">
    <mergeCell ref="A6:D6"/>
    <mergeCell ref="L1:O1"/>
    <mergeCell ref="A2:C2"/>
    <mergeCell ref="L2:O2"/>
    <mergeCell ref="A3:D3"/>
    <mergeCell ref="L3:O3"/>
    <mergeCell ref="A5:K5"/>
    <mergeCell ref="L7:N7"/>
    <mergeCell ref="O7:P7"/>
    <mergeCell ref="D219:O219"/>
    <mergeCell ref="L9:P9"/>
    <mergeCell ref="A8:J8"/>
    <mergeCell ref="A7:H7"/>
    <mergeCell ref="D221:F221"/>
    <mergeCell ref="C214:K214"/>
    <mergeCell ref="A9:A10"/>
    <mergeCell ref="B9:B10"/>
    <mergeCell ref="C9:C10"/>
    <mergeCell ref="D9:D10"/>
    <mergeCell ref="E9:E10"/>
    <mergeCell ref="F9:K9"/>
    <mergeCell ref="D220:O220"/>
  </mergeCells>
  <conditionalFormatting sqref="D12:D214">
    <cfRule type="cellIs" dxfId="41" priority="1" stopIfTrue="1" operator="equal">
      <formula>0</formula>
    </cfRule>
    <cfRule type="expression" dxfId="40" priority="2" stopIfTrue="1">
      <formula>#N/A</formula>
    </cfRule>
  </conditionalFormatting>
  <hyperlinks>
    <hyperlink ref="L1" r:id="rId1" tooltip="Atvērt citā formātā" display="https://likumi.lv/wwwraksti/2017/103/BILDES/N_239/P5.DOCX" xr:uid="{B162E46E-0F6B-48CB-9220-1D860033B19A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  <headerFooter>
    <oddFooter>&amp;C&amp;P</oddFooter>
  </headerFooter>
  <ignoredErrors>
    <ignoredError sqref="E34 E112 E131 E151 E147 E17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2B6A-8761-44D3-8EAB-724BAFE2F6C8}">
  <sheetPr>
    <pageSetUpPr fitToPage="1"/>
  </sheetPr>
  <dimension ref="A1:S40"/>
  <sheetViews>
    <sheetView topLeftCell="A22" zoomScale="130" zoomScaleNormal="130" workbookViewId="0">
      <selection activeCell="A7" sqref="A7:H7"/>
    </sheetView>
  </sheetViews>
  <sheetFormatPr defaultColWidth="9.140625" defaultRowHeight="14.25"/>
  <cols>
    <col min="1" max="1" width="5.85546875" style="1" customWidth="1"/>
    <col min="2" max="2" width="8.7109375" style="1" customWidth="1"/>
    <col min="3" max="3" width="43.28515625" style="1" customWidth="1"/>
    <col min="4" max="4" width="4.85546875" style="1" customWidth="1"/>
    <col min="5" max="5" width="7.140625" style="1" customWidth="1"/>
    <col min="6" max="6" width="6.85546875" style="1" customWidth="1"/>
    <col min="7" max="9" width="8.85546875" style="1" customWidth="1"/>
    <col min="10" max="10" width="10.140625" style="1" customWidth="1"/>
    <col min="11" max="11" width="8.7109375" style="1" customWidth="1"/>
    <col min="12" max="15" width="9.140625" style="1"/>
    <col min="16" max="16" width="9.42578125" style="1" bestFit="1" customWidth="1"/>
    <col min="17" max="16384" width="9.140625" style="1"/>
  </cols>
  <sheetData>
    <row r="1" spans="1:19" ht="15">
      <c r="A1" s="2"/>
      <c r="L1" s="402" t="s">
        <v>542</v>
      </c>
      <c r="M1" s="403"/>
      <c r="N1" s="403"/>
      <c r="O1" s="403"/>
    </row>
    <row r="2" spans="1:19" ht="15">
      <c r="A2" s="404" t="s">
        <v>56</v>
      </c>
      <c r="B2" s="398"/>
      <c r="C2" s="398"/>
      <c r="D2" s="2"/>
      <c r="E2" s="2"/>
      <c r="L2" s="405" t="s">
        <v>19</v>
      </c>
      <c r="M2" s="403"/>
      <c r="N2" s="403"/>
      <c r="O2" s="403"/>
    </row>
    <row r="3" spans="1:19" ht="15">
      <c r="A3" s="404" t="s">
        <v>228</v>
      </c>
      <c r="B3" s="398"/>
      <c r="C3" s="398"/>
      <c r="D3" s="398"/>
      <c r="E3" s="2"/>
      <c r="L3" s="405" t="s">
        <v>20</v>
      </c>
      <c r="M3" s="403"/>
      <c r="N3" s="403"/>
      <c r="O3" s="403"/>
    </row>
    <row r="4" spans="1:19" ht="15" customHeight="1">
      <c r="C4" s="2"/>
    </row>
    <row r="5" spans="1:19" ht="15" customHeight="1">
      <c r="A5" s="399" t="s">
        <v>531</v>
      </c>
      <c r="B5" s="400"/>
      <c r="C5" s="400"/>
      <c r="D5" s="400"/>
      <c r="E5" s="400"/>
      <c r="F5" s="400"/>
      <c r="G5" s="400"/>
      <c r="H5" s="400"/>
      <c r="I5" s="400"/>
      <c r="J5" s="400"/>
      <c r="K5" s="401"/>
    </row>
    <row r="6" spans="1:19" ht="15" customHeight="1">
      <c r="A6" s="379" t="s">
        <v>538</v>
      </c>
      <c r="B6" s="379"/>
      <c r="C6" s="379"/>
      <c r="D6" s="398"/>
      <c r="E6" s="7"/>
      <c r="F6" s="7"/>
      <c r="G6" s="7"/>
      <c r="H6" s="7"/>
      <c r="I6" s="7"/>
      <c r="J6" s="7"/>
    </row>
    <row r="7" spans="1:19">
      <c r="A7" s="379" t="s">
        <v>535</v>
      </c>
      <c r="B7" s="379"/>
      <c r="C7" s="379"/>
      <c r="D7" s="379"/>
      <c r="E7" s="379"/>
      <c r="F7" s="379"/>
      <c r="G7" s="379"/>
      <c r="H7" s="379"/>
      <c r="I7" s="7"/>
      <c r="J7" s="7"/>
      <c r="L7" s="363" t="s">
        <v>18</v>
      </c>
      <c r="M7" s="363"/>
      <c r="N7" s="363"/>
      <c r="O7" s="364"/>
      <c r="P7" s="363"/>
    </row>
    <row r="8" spans="1:19">
      <c r="A8" s="379" t="s">
        <v>536</v>
      </c>
      <c r="B8" s="379"/>
      <c r="C8" s="379"/>
      <c r="D8" s="379"/>
      <c r="E8" s="379"/>
      <c r="F8" s="379"/>
      <c r="G8" s="379"/>
      <c r="H8" s="379"/>
      <c r="I8" s="379"/>
      <c r="J8" s="379"/>
      <c r="K8" s="7"/>
      <c r="L8" s="7"/>
      <c r="M8" s="7"/>
      <c r="N8" s="7"/>
      <c r="O8" s="7"/>
      <c r="P8" s="7"/>
    </row>
    <row r="9" spans="1:19" ht="14.25" customHeight="1">
      <c r="A9" s="377" t="s">
        <v>1</v>
      </c>
      <c r="B9" s="377" t="s">
        <v>2</v>
      </c>
      <c r="C9" s="377" t="s">
        <v>3</v>
      </c>
      <c r="D9" s="397" t="s">
        <v>4</v>
      </c>
      <c r="E9" s="397" t="s">
        <v>5</v>
      </c>
      <c r="F9" s="377" t="s">
        <v>13</v>
      </c>
      <c r="G9" s="377"/>
      <c r="H9" s="377"/>
      <c r="I9" s="377"/>
      <c r="J9" s="377"/>
      <c r="K9" s="377"/>
      <c r="L9" s="377" t="s">
        <v>14</v>
      </c>
      <c r="M9" s="377"/>
      <c r="N9" s="377"/>
      <c r="O9" s="377"/>
      <c r="P9" s="377"/>
    </row>
    <row r="10" spans="1:19" ht="51">
      <c r="A10" s="377"/>
      <c r="B10" s="377"/>
      <c r="C10" s="377"/>
      <c r="D10" s="397"/>
      <c r="E10" s="397"/>
      <c r="F10" s="10" t="s">
        <v>15</v>
      </c>
      <c r="G10" s="10" t="s">
        <v>16</v>
      </c>
      <c r="H10" s="10" t="s">
        <v>52</v>
      </c>
      <c r="I10" s="10" t="s">
        <v>49</v>
      </c>
      <c r="J10" s="10" t="s">
        <v>53</v>
      </c>
      <c r="K10" s="10" t="s">
        <v>50</v>
      </c>
      <c r="L10" s="10" t="s">
        <v>17</v>
      </c>
      <c r="M10" s="10" t="s">
        <v>52</v>
      </c>
      <c r="N10" s="10" t="s">
        <v>49</v>
      </c>
      <c r="O10" s="10" t="s">
        <v>53</v>
      </c>
      <c r="P10" s="10" t="s">
        <v>51</v>
      </c>
    </row>
    <row r="11" spans="1:19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78">
        <v>6</v>
      </c>
      <c r="G11" s="178">
        <v>7</v>
      </c>
      <c r="H11" s="178">
        <v>8</v>
      </c>
      <c r="I11" s="178">
        <v>9</v>
      </c>
      <c r="J11" s="178">
        <v>10</v>
      </c>
      <c r="K11" s="178">
        <v>11</v>
      </c>
      <c r="L11" s="178">
        <v>12</v>
      </c>
      <c r="M11" s="178">
        <v>13</v>
      </c>
      <c r="N11" s="178">
        <v>14</v>
      </c>
      <c r="O11" s="178">
        <v>15</v>
      </c>
      <c r="P11" s="178">
        <v>16</v>
      </c>
    </row>
    <row r="12" spans="1:19">
      <c r="A12" s="10">
        <v>1</v>
      </c>
      <c r="B12" s="123" t="s">
        <v>8</v>
      </c>
      <c r="C12" s="98" t="s">
        <v>473</v>
      </c>
      <c r="D12" s="10" t="s">
        <v>474</v>
      </c>
      <c r="E12" s="10">
        <v>1197</v>
      </c>
      <c r="F12" s="66"/>
      <c r="G12" s="66"/>
      <c r="H12" s="317"/>
      <c r="I12" s="317"/>
      <c r="J12" s="317"/>
      <c r="K12" s="67"/>
      <c r="L12" s="11"/>
      <c r="M12" s="11"/>
      <c r="N12" s="11"/>
      <c r="O12" s="11"/>
      <c r="P12" s="11"/>
      <c r="S12" s="56"/>
    </row>
    <row r="13" spans="1:19">
      <c r="A13" s="10">
        <v>2</v>
      </c>
      <c r="B13" s="123" t="s">
        <v>8</v>
      </c>
      <c r="C13" s="98" t="s">
        <v>475</v>
      </c>
      <c r="D13" s="10" t="s">
        <v>474</v>
      </c>
      <c r="E13" s="10">
        <v>1197</v>
      </c>
      <c r="F13" s="66"/>
      <c r="G13" s="66"/>
      <c r="H13" s="317"/>
      <c r="I13" s="317"/>
      <c r="J13" s="317"/>
      <c r="K13" s="67"/>
      <c r="L13" s="11"/>
      <c r="M13" s="11"/>
      <c r="N13" s="11"/>
      <c r="O13" s="11"/>
      <c r="P13" s="11"/>
      <c r="S13" s="56"/>
    </row>
    <row r="14" spans="1:19">
      <c r="A14" s="10">
        <v>3</v>
      </c>
      <c r="B14" s="123" t="s">
        <v>8</v>
      </c>
      <c r="C14" s="98" t="s">
        <v>476</v>
      </c>
      <c r="D14" s="10" t="s">
        <v>63</v>
      </c>
      <c r="E14" s="10">
        <v>131.5</v>
      </c>
      <c r="F14" s="66"/>
      <c r="G14" s="66"/>
      <c r="H14" s="317"/>
      <c r="I14" s="317"/>
      <c r="J14" s="317"/>
      <c r="K14" s="67"/>
      <c r="L14" s="11"/>
      <c r="M14" s="11"/>
      <c r="N14" s="11"/>
      <c r="O14" s="11"/>
      <c r="P14" s="11"/>
      <c r="S14" s="56"/>
    </row>
    <row r="15" spans="1:19">
      <c r="A15" s="10">
        <v>4</v>
      </c>
      <c r="B15" s="123" t="s">
        <v>8</v>
      </c>
      <c r="C15" s="98" t="s">
        <v>477</v>
      </c>
      <c r="D15" s="10" t="s">
        <v>474</v>
      </c>
      <c r="E15" s="10">
        <v>104.7675</v>
      </c>
      <c r="F15" s="66"/>
      <c r="G15" s="66"/>
      <c r="H15" s="317"/>
      <c r="I15" s="317"/>
      <c r="J15" s="317"/>
      <c r="K15" s="67"/>
      <c r="L15" s="11"/>
      <c r="M15" s="11"/>
      <c r="N15" s="11"/>
      <c r="O15" s="11"/>
      <c r="P15" s="11"/>
      <c r="S15" s="56"/>
    </row>
    <row r="16" spans="1:19">
      <c r="A16" s="10">
        <v>5</v>
      </c>
      <c r="B16" s="123" t="s">
        <v>8</v>
      </c>
      <c r="C16" s="98" t="s">
        <v>100</v>
      </c>
      <c r="D16" s="10" t="s">
        <v>474</v>
      </c>
      <c r="E16" s="10">
        <v>104.7675</v>
      </c>
      <c r="F16" s="66"/>
      <c r="G16" s="66"/>
      <c r="H16" s="317"/>
      <c r="I16" s="317"/>
      <c r="J16" s="317"/>
      <c r="K16" s="67"/>
      <c r="L16" s="11"/>
      <c r="M16" s="11"/>
      <c r="N16" s="11"/>
      <c r="O16" s="11"/>
      <c r="P16" s="11"/>
      <c r="S16" s="56"/>
    </row>
    <row r="17" spans="1:19">
      <c r="A17" s="10">
        <v>6</v>
      </c>
      <c r="B17" s="123" t="s">
        <v>8</v>
      </c>
      <c r="C17" s="98" t="s">
        <v>478</v>
      </c>
      <c r="D17" s="10" t="s">
        <v>466</v>
      </c>
      <c r="E17" s="10">
        <v>13</v>
      </c>
      <c r="F17" s="66"/>
      <c r="G17" s="66"/>
      <c r="H17" s="317"/>
      <c r="I17" s="317"/>
      <c r="J17" s="317"/>
      <c r="K17" s="67"/>
      <c r="L17" s="11"/>
      <c r="M17" s="11"/>
      <c r="N17" s="11"/>
      <c r="O17" s="11"/>
      <c r="P17" s="11"/>
      <c r="S17" s="56"/>
    </row>
    <row r="18" spans="1:19">
      <c r="A18" s="10">
        <v>7</v>
      </c>
      <c r="B18" s="123" t="s">
        <v>8</v>
      </c>
      <c r="C18" s="98" t="s">
        <v>479</v>
      </c>
      <c r="D18" s="10" t="s">
        <v>154</v>
      </c>
      <c r="E18" s="10">
        <v>1.66</v>
      </c>
      <c r="F18" s="66"/>
      <c r="G18" s="66"/>
      <c r="H18" s="317"/>
      <c r="I18" s="317"/>
      <c r="J18" s="317"/>
      <c r="K18" s="67"/>
      <c r="L18" s="11"/>
      <c r="M18" s="11"/>
      <c r="N18" s="11"/>
      <c r="O18" s="11"/>
      <c r="P18" s="11"/>
      <c r="S18" s="56"/>
    </row>
    <row r="19" spans="1:19">
      <c r="A19" s="10">
        <v>8</v>
      </c>
      <c r="B19" s="123" t="s">
        <v>8</v>
      </c>
      <c r="C19" s="98" t="s">
        <v>480</v>
      </c>
      <c r="D19" s="10" t="s">
        <v>63</v>
      </c>
      <c r="E19" s="10">
        <v>24.3</v>
      </c>
      <c r="F19" s="66"/>
      <c r="G19" s="66"/>
      <c r="H19" s="317"/>
      <c r="I19" s="317"/>
      <c r="J19" s="317"/>
      <c r="K19" s="67"/>
      <c r="L19" s="11"/>
      <c r="M19" s="11"/>
      <c r="N19" s="11"/>
      <c r="O19" s="11"/>
      <c r="P19" s="11"/>
      <c r="S19" s="56"/>
    </row>
    <row r="20" spans="1:19">
      <c r="A20" s="10">
        <v>9</v>
      </c>
      <c r="B20" s="123" t="s">
        <v>8</v>
      </c>
      <c r="C20" s="98" t="s">
        <v>481</v>
      </c>
      <c r="D20" s="10" t="s">
        <v>154</v>
      </c>
      <c r="E20" s="10">
        <v>1.3644000000000001</v>
      </c>
      <c r="F20" s="66"/>
      <c r="G20" s="66"/>
      <c r="H20" s="317"/>
      <c r="I20" s="317"/>
      <c r="J20" s="317"/>
      <c r="K20" s="67"/>
      <c r="L20" s="11"/>
      <c r="M20" s="11"/>
      <c r="N20" s="11"/>
      <c r="O20" s="11"/>
      <c r="P20" s="11"/>
      <c r="S20" s="56"/>
    </row>
    <row r="21" spans="1:19">
      <c r="A21" s="10">
        <v>10</v>
      </c>
      <c r="B21" s="123" t="s">
        <v>8</v>
      </c>
      <c r="C21" s="98" t="s">
        <v>482</v>
      </c>
      <c r="D21" s="10" t="s">
        <v>474</v>
      </c>
      <c r="E21" s="10">
        <v>1197</v>
      </c>
      <c r="F21" s="66"/>
      <c r="G21" s="66"/>
      <c r="H21" s="317"/>
      <c r="I21" s="317"/>
      <c r="J21" s="317"/>
      <c r="K21" s="67"/>
      <c r="L21" s="11"/>
      <c r="M21" s="11"/>
      <c r="N21" s="11"/>
      <c r="O21" s="11"/>
      <c r="P21" s="11"/>
      <c r="S21" s="56"/>
    </row>
    <row r="22" spans="1:19" ht="25.5">
      <c r="A22" s="10">
        <v>11</v>
      </c>
      <c r="B22" s="123" t="s">
        <v>8</v>
      </c>
      <c r="C22" s="98" t="s">
        <v>483</v>
      </c>
      <c r="D22" s="10" t="s">
        <v>474</v>
      </c>
      <c r="E22" s="10">
        <v>1197</v>
      </c>
      <c r="F22" s="66"/>
      <c r="G22" s="66"/>
      <c r="H22" s="317"/>
      <c r="I22" s="317"/>
      <c r="J22" s="317"/>
      <c r="K22" s="67"/>
      <c r="L22" s="11"/>
      <c r="M22" s="11"/>
      <c r="N22" s="11"/>
      <c r="O22" s="11"/>
      <c r="P22" s="11"/>
      <c r="S22" s="56"/>
    </row>
    <row r="23" spans="1:19">
      <c r="A23" s="10">
        <v>12</v>
      </c>
      <c r="B23" s="123" t="s">
        <v>8</v>
      </c>
      <c r="C23" s="98" t="s">
        <v>484</v>
      </c>
      <c r="D23" s="10" t="s">
        <v>474</v>
      </c>
      <c r="E23" s="66">
        <v>1197</v>
      </c>
      <c r="F23" s="66"/>
      <c r="G23" s="66"/>
      <c r="H23" s="72"/>
      <c r="I23" s="72"/>
      <c r="J23" s="234"/>
      <c r="K23" s="67"/>
      <c r="L23" s="11"/>
      <c r="M23" s="11"/>
      <c r="N23" s="11"/>
      <c r="O23" s="11"/>
      <c r="P23" s="11"/>
      <c r="S23" s="56"/>
    </row>
    <row r="24" spans="1:19">
      <c r="A24" s="10">
        <v>13</v>
      </c>
      <c r="B24" s="123" t="s">
        <v>8</v>
      </c>
      <c r="C24" s="98" t="s">
        <v>485</v>
      </c>
      <c r="D24" s="10" t="s">
        <v>474</v>
      </c>
      <c r="E24" s="66">
        <v>1197</v>
      </c>
      <c r="F24" s="66"/>
      <c r="G24" s="66"/>
      <c r="H24" s="72"/>
      <c r="I24" s="72"/>
      <c r="J24" s="234"/>
      <c r="K24" s="67"/>
      <c r="L24" s="11"/>
      <c r="M24" s="11"/>
      <c r="N24" s="11"/>
      <c r="O24" s="11"/>
      <c r="P24" s="11"/>
      <c r="S24" s="56"/>
    </row>
    <row r="25" spans="1:19">
      <c r="A25" s="10">
        <v>14</v>
      </c>
      <c r="B25" s="123" t="s">
        <v>8</v>
      </c>
      <c r="C25" s="179" t="s">
        <v>486</v>
      </c>
      <c r="D25" s="10" t="s">
        <v>63</v>
      </c>
      <c r="E25" s="66">
        <v>86</v>
      </c>
      <c r="F25" s="180"/>
      <c r="G25" s="66"/>
      <c r="H25" s="72"/>
      <c r="I25" s="72"/>
      <c r="J25" s="234"/>
      <c r="K25" s="67"/>
      <c r="L25" s="11"/>
      <c r="M25" s="11"/>
      <c r="N25" s="11"/>
      <c r="O25" s="11"/>
      <c r="P25" s="11"/>
      <c r="S25" s="56"/>
    </row>
    <row r="26" spans="1:19">
      <c r="A26" s="10">
        <v>15</v>
      </c>
      <c r="B26" s="123" t="s">
        <v>8</v>
      </c>
      <c r="C26" s="110" t="s">
        <v>487</v>
      </c>
      <c r="D26" s="10" t="s">
        <v>63</v>
      </c>
      <c r="E26" s="65">
        <v>172</v>
      </c>
      <c r="F26" s="65"/>
      <c r="G26" s="65"/>
      <c r="H26" s="65"/>
      <c r="I26" s="66"/>
      <c r="J26" s="234"/>
      <c r="K26" s="67"/>
      <c r="L26" s="11"/>
      <c r="M26" s="11"/>
      <c r="N26" s="11"/>
      <c r="O26" s="11"/>
      <c r="P26" s="11"/>
      <c r="S26" s="56"/>
    </row>
    <row r="27" spans="1:19" ht="16.5" customHeight="1">
      <c r="A27" s="10">
        <v>16</v>
      </c>
      <c r="B27" s="123" t="s">
        <v>8</v>
      </c>
      <c r="C27" s="98" t="s">
        <v>488</v>
      </c>
      <c r="D27" s="10" t="s">
        <v>63</v>
      </c>
      <c r="E27" s="66">
        <v>18</v>
      </c>
      <c r="F27" s="66"/>
      <c r="G27" s="65"/>
      <c r="H27" s="72"/>
      <c r="I27" s="72"/>
      <c r="J27" s="234"/>
      <c r="K27" s="67"/>
      <c r="L27" s="11"/>
      <c r="M27" s="11"/>
      <c r="N27" s="11"/>
      <c r="O27" s="11"/>
      <c r="P27" s="11"/>
      <c r="S27" s="56"/>
    </row>
    <row r="28" spans="1:19">
      <c r="A28" s="10">
        <v>17</v>
      </c>
      <c r="B28" s="123" t="s">
        <v>8</v>
      </c>
      <c r="C28" s="184" t="s">
        <v>489</v>
      </c>
      <c r="D28" s="124" t="s">
        <v>63</v>
      </c>
      <c r="E28" s="65">
        <v>64</v>
      </c>
      <c r="F28" s="180"/>
      <c r="G28" s="65"/>
      <c r="H28" s="72"/>
      <c r="I28" s="72"/>
      <c r="J28" s="234"/>
      <c r="K28" s="67"/>
      <c r="L28" s="11"/>
      <c r="M28" s="11"/>
      <c r="N28" s="11"/>
      <c r="O28" s="11"/>
      <c r="P28" s="11"/>
      <c r="S28" s="56"/>
    </row>
    <row r="29" spans="1:19">
      <c r="A29" s="10">
        <v>18</v>
      </c>
      <c r="B29" s="123" t="s">
        <v>8</v>
      </c>
      <c r="C29" s="98" t="s">
        <v>490</v>
      </c>
      <c r="D29" s="123" t="s">
        <v>63</v>
      </c>
      <c r="E29" s="290">
        <v>5</v>
      </c>
      <c r="F29" s="66"/>
      <c r="G29" s="65"/>
      <c r="H29" s="72"/>
      <c r="I29" s="72"/>
      <c r="J29" s="234"/>
      <c r="K29" s="67"/>
      <c r="L29" s="11"/>
      <c r="M29" s="11"/>
      <c r="N29" s="11"/>
      <c r="O29" s="11"/>
      <c r="P29" s="11"/>
      <c r="S29" s="56"/>
    </row>
    <row r="30" spans="1:19" ht="15">
      <c r="A30" s="10">
        <v>19</v>
      </c>
      <c r="B30" s="123" t="s">
        <v>8</v>
      </c>
      <c r="C30" s="184" t="s">
        <v>491</v>
      </c>
      <c r="D30" s="124" t="s">
        <v>474</v>
      </c>
      <c r="E30" s="65">
        <v>172</v>
      </c>
      <c r="F30" s="65"/>
      <c r="G30" s="65"/>
      <c r="H30" s="72"/>
      <c r="I30" s="234"/>
      <c r="J30" s="234"/>
      <c r="K30" s="67"/>
      <c r="L30" s="11"/>
      <c r="M30" s="11"/>
      <c r="N30" s="11"/>
      <c r="O30" s="11"/>
      <c r="P30" s="11"/>
      <c r="R30" s="57"/>
      <c r="S30" s="56"/>
    </row>
    <row r="31" spans="1:19">
      <c r="A31" s="10">
        <v>20</v>
      </c>
      <c r="B31" s="123" t="s">
        <v>8</v>
      </c>
      <c r="C31" s="98" t="s">
        <v>492</v>
      </c>
      <c r="D31" s="10" t="s">
        <v>63</v>
      </c>
      <c r="E31" s="100">
        <v>131.5</v>
      </c>
      <c r="F31" s="183"/>
      <c r="G31" s="65"/>
      <c r="H31" s="72"/>
      <c r="I31" s="72"/>
      <c r="J31" s="234"/>
      <c r="K31" s="67"/>
      <c r="L31" s="11"/>
      <c r="M31" s="11"/>
      <c r="N31" s="11"/>
      <c r="O31" s="11"/>
      <c r="P31" s="11"/>
      <c r="S31" s="56"/>
    </row>
    <row r="32" spans="1:19" ht="25.5">
      <c r="A32" s="10">
        <v>21</v>
      </c>
      <c r="B32" s="123" t="s">
        <v>8</v>
      </c>
      <c r="C32" s="98" t="s">
        <v>493</v>
      </c>
      <c r="D32" s="124" t="s">
        <v>494</v>
      </c>
      <c r="E32" s="65">
        <v>19.87</v>
      </c>
      <c r="F32" s="65"/>
      <c r="G32" s="65"/>
      <c r="H32" s="72"/>
      <c r="I32" s="234"/>
      <c r="J32" s="234"/>
      <c r="K32" s="67"/>
      <c r="L32" s="11"/>
      <c r="M32" s="11"/>
      <c r="N32" s="11"/>
      <c r="O32" s="11"/>
      <c r="P32" s="11"/>
      <c r="S32" s="56"/>
    </row>
    <row r="33" spans="1:19" ht="25.5">
      <c r="A33" s="10">
        <v>22</v>
      </c>
      <c r="B33" s="123" t="s">
        <v>8</v>
      </c>
      <c r="C33" s="98" t="s">
        <v>495</v>
      </c>
      <c r="D33" s="124" t="s">
        <v>154</v>
      </c>
      <c r="E33" s="65">
        <v>46.97</v>
      </c>
      <c r="F33" s="65"/>
      <c r="G33" s="65"/>
      <c r="H33" s="72"/>
      <c r="I33" s="234"/>
      <c r="J33" s="234"/>
      <c r="K33" s="67"/>
      <c r="L33" s="11"/>
      <c r="M33" s="11"/>
      <c r="N33" s="11"/>
      <c r="O33" s="11"/>
      <c r="P33" s="11"/>
      <c r="S33" s="56"/>
    </row>
    <row r="34" spans="1:19">
      <c r="A34" s="10"/>
      <c r="B34" s="10"/>
      <c r="C34" s="417" t="s">
        <v>97</v>
      </c>
      <c r="D34" s="417"/>
      <c r="E34" s="417"/>
      <c r="F34" s="417"/>
      <c r="G34" s="417"/>
      <c r="H34" s="417"/>
      <c r="I34" s="417"/>
      <c r="J34" s="417"/>
      <c r="K34" s="417"/>
      <c r="L34" s="318">
        <f>SUM(L12:L33)</f>
        <v>0</v>
      </c>
      <c r="M34" s="318">
        <f>SUM(M12:M33)</f>
        <v>0</v>
      </c>
      <c r="N34" s="318">
        <f>SUM(N12:N33)</f>
        <v>0</v>
      </c>
      <c r="O34" s="318">
        <f>SUM(O12:O33)</f>
        <v>0</v>
      </c>
      <c r="P34" s="318">
        <f>SUM(P12:P33)</f>
        <v>0</v>
      </c>
      <c r="S34" s="56"/>
    </row>
    <row r="35" spans="1:19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59"/>
    </row>
    <row r="36" spans="1:19">
      <c r="A36" s="6"/>
      <c r="B36" s="6"/>
      <c r="C36" s="5" t="s">
        <v>21</v>
      </c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4"/>
    </row>
    <row r="37" spans="1:19">
      <c r="A37" s="5"/>
      <c r="B37" s="5"/>
      <c r="C37" s="3"/>
      <c r="D37" s="392" t="s">
        <v>22</v>
      </c>
      <c r="E37" s="392"/>
      <c r="F37" s="392"/>
      <c r="G37" s="392"/>
      <c r="H37" s="392"/>
      <c r="I37" s="392"/>
      <c r="J37" s="392"/>
      <c r="K37" s="392"/>
      <c r="L37" s="392"/>
      <c r="M37" s="392"/>
      <c r="N37" s="392"/>
      <c r="O37" s="392"/>
      <c r="P37" s="4"/>
    </row>
    <row r="38" spans="1:19">
      <c r="A38" s="3"/>
      <c r="B38" s="3"/>
      <c r="C38" s="5" t="s">
        <v>23</v>
      </c>
      <c r="D38" s="354"/>
      <c r="E38" s="354"/>
      <c r="F38" s="354"/>
      <c r="G38" s="3"/>
      <c r="H38" s="3"/>
      <c r="I38" s="3"/>
      <c r="J38" s="3"/>
      <c r="K38" s="3"/>
      <c r="L38" s="3"/>
      <c r="M38" s="3"/>
      <c r="N38" s="3"/>
      <c r="O38" s="3"/>
      <c r="P38" s="4"/>
    </row>
    <row r="39" spans="1:19">
      <c r="A39" s="3"/>
      <c r="B39" s="3"/>
      <c r="C39" s="5"/>
      <c r="D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/>
    </row>
    <row r="40" spans="1:19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</sheetData>
  <mergeCells count="22">
    <mergeCell ref="A5:K5"/>
    <mergeCell ref="L1:O1"/>
    <mergeCell ref="A2:C2"/>
    <mergeCell ref="L2:O2"/>
    <mergeCell ref="A3:D3"/>
    <mergeCell ref="L3:O3"/>
    <mergeCell ref="A8:J8"/>
    <mergeCell ref="A7:H7"/>
    <mergeCell ref="L7:N7"/>
    <mergeCell ref="O7:P7"/>
    <mergeCell ref="A6:D6"/>
    <mergeCell ref="D36:O36"/>
    <mergeCell ref="D37:O37"/>
    <mergeCell ref="C34:K34"/>
    <mergeCell ref="D38:F38"/>
    <mergeCell ref="A9:A10"/>
    <mergeCell ref="B9:B10"/>
    <mergeCell ref="C9:C10"/>
    <mergeCell ref="D9:D10"/>
    <mergeCell ref="E9:E10"/>
    <mergeCell ref="F9:K9"/>
    <mergeCell ref="L9:P9"/>
  </mergeCells>
  <phoneticPr fontId="132" type="noConversion"/>
  <conditionalFormatting sqref="D23:D34">
    <cfRule type="cellIs" dxfId="39" priority="1" stopIfTrue="1" operator="equal">
      <formula>0</formula>
    </cfRule>
    <cfRule type="expression" dxfId="38" priority="2" stopIfTrue="1">
      <formula>#N/A</formula>
    </cfRule>
  </conditionalFormatting>
  <hyperlinks>
    <hyperlink ref="L1" r:id="rId1" tooltip="Atvērt citā formātā" display="https://likumi.lv/wwwraksti/2017/103/BILDES/N_239/P5.DOCX" xr:uid="{0C6B6A3B-A6D4-42AB-83C1-D99F10736CBB}"/>
  </hyperlinks>
  <pageMargins left="0.31496062992125984" right="0.31496062992125984" top="0.74803149606299213" bottom="0.74803149606299213" header="0.31496062992125984" footer="0.31496062992125984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19</vt:i4>
      </vt:variant>
      <vt:variant>
        <vt:lpstr>Diapazoni ar nosaukumiem</vt:lpstr>
      </vt:variant>
      <vt:variant>
        <vt:i4>9</vt:i4>
      </vt:variant>
    </vt:vector>
  </HeadingPairs>
  <TitlesOfParts>
    <vt:vector size="28" baseType="lpstr">
      <vt:lpstr>Koptāme</vt:lpstr>
      <vt:lpstr>Kopsav</vt:lpstr>
      <vt:lpstr>Būvlaukums</vt:lpstr>
      <vt:lpstr>pagrabs</vt:lpstr>
      <vt:lpstr>1.st BK</vt:lpstr>
      <vt:lpstr>2.st+jumts BK</vt:lpstr>
      <vt:lpstr>1.st AR</vt:lpstr>
      <vt:lpstr>2.st AR</vt:lpstr>
      <vt:lpstr>jumts</vt:lpstr>
      <vt:lpstr>UK</vt:lpstr>
      <vt:lpstr>apkure</vt:lpstr>
      <vt:lpstr>ventil</vt:lpstr>
      <vt:lpstr>EL</vt:lpstr>
      <vt:lpstr>zib</vt:lpstr>
      <vt:lpstr>UATS</vt:lpstr>
      <vt:lpstr>UKT</vt:lpstr>
      <vt:lpstr>ELT</vt:lpstr>
      <vt:lpstr>Tenta angars </vt:lpstr>
      <vt:lpstr>Sheet1</vt:lpstr>
      <vt:lpstr>Koptāme!Drukas_apgabals</vt:lpstr>
      <vt:lpstr>'1.st AR'!Drukāt_virsrakstus</vt:lpstr>
      <vt:lpstr>'1.st BK'!Drukāt_virsrakstus</vt:lpstr>
      <vt:lpstr>'2.st AR'!Drukāt_virsrakstus</vt:lpstr>
      <vt:lpstr>apkure!Drukāt_virsrakstus</vt:lpstr>
      <vt:lpstr>EL!Drukāt_virsrakstus</vt:lpstr>
      <vt:lpstr>UK!Drukāt_virsrakstus</vt:lpstr>
      <vt:lpstr>UKT!Drukāt_virsrakstus</vt:lpstr>
      <vt:lpstr>ventil!Drukāt_virsrakstus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2026-05-29T09:41:26Z</dcterms:modified>
</cp:coreProperties>
</file>